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9995" windowHeight="8955" activeTab="0"/>
  </bookViews>
  <sheets>
    <sheet name="Terman" sheetId="1" r:id="rId1"/>
    <sheet name="Sturley" sheetId="2" r:id="rId2"/>
  </sheets>
  <externalReferences>
    <externalReference r:id="rId5"/>
  </externalReferences>
  <definedNames>
    <definedName name="Cp">'[1]Foglio2'!$F$16:$F$26</definedName>
    <definedName name="Cpa">'[1]Foglio2'!$D$16:$D$26</definedName>
    <definedName name="Cs">'[1]Foglio2'!$E$16:$E$26</definedName>
    <definedName name="Cv">'[1]Foglio2'!$C$16:$C$26</definedName>
    <definedName name="La">'[1]Foglio2'!$B$16:$B$26</definedName>
    <definedName name="Lo">'[1]Foglio2'!$H$16:$H$26</definedName>
  </definedNames>
  <calcPr fullCalcOnLoad="1"/>
</workbook>
</file>

<file path=xl/sharedStrings.xml><?xml version="1.0" encoding="utf-8"?>
<sst xmlns="http://schemas.openxmlformats.org/spreadsheetml/2006/main" count="156" uniqueCount="92">
  <si>
    <t>da "Terman - Radio Engineers Handbook 1943" pag. 649-651</t>
  </si>
  <si>
    <t>massima capacità variabile</t>
  </si>
  <si>
    <t>pF</t>
  </si>
  <si>
    <t>MHz</t>
  </si>
  <si>
    <t>media frequenza</t>
  </si>
  <si>
    <t>frequenza minima di ricezione</t>
  </si>
  <si>
    <t>a=</t>
  </si>
  <si>
    <t>frequenza massima di ricezione</t>
  </si>
  <si>
    <r>
      <t>f</t>
    </r>
    <r>
      <rPr>
        <vertAlign val="subscript"/>
        <sz val="12"/>
        <rFont val="Footlight MT Light"/>
        <family val="1"/>
      </rPr>
      <t>b</t>
    </r>
  </si>
  <si>
    <t>induttanza bobina di aereo</t>
  </si>
  <si>
    <t>L=</t>
  </si>
  <si>
    <r>
      <t>m</t>
    </r>
    <r>
      <rPr>
        <sz val="10"/>
        <rFont val="Arial"/>
        <family val="0"/>
      </rPr>
      <t>H</t>
    </r>
  </si>
  <si>
    <t>d=</t>
  </si>
  <si>
    <t>capacità condensatore di padding</t>
  </si>
  <si>
    <t>capacità compensatore oscillatore</t>
  </si>
  <si>
    <t>induttanza bobina dell' oscillatore</t>
  </si>
  <si>
    <t>aereo</t>
  </si>
  <si>
    <t>oscillatore</t>
  </si>
  <si>
    <t>C variab</t>
  </si>
  <si>
    <t>C par aereo</t>
  </si>
  <si>
    <t>f aereo</t>
  </si>
  <si>
    <t>C padding</t>
  </si>
  <si>
    <t>C trim osc</t>
  </si>
  <si>
    <t>C equiv osc</t>
  </si>
  <si>
    <t>f oscill</t>
  </si>
  <si>
    <t>MF</t>
  </si>
  <si>
    <t>Delta</t>
  </si>
  <si>
    <t>C aereo</t>
  </si>
  <si>
    <t>kHz</t>
  </si>
  <si>
    <r>
      <t>f</t>
    </r>
    <r>
      <rPr>
        <vertAlign val="subscript"/>
        <sz val="12"/>
        <rFont val="Footlight MT Light"/>
        <family val="1"/>
      </rPr>
      <t>a</t>
    </r>
  </si>
  <si>
    <r>
      <t>f</t>
    </r>
    <r>
      <rPr>
        <vertAlign val="subscript"/>
        <sz val="12"/>
        <rFont val="Footlight MT Light"/>
        <family val="1"/>
      </rPr>
      <t>ha</t>
    </r>
  </si>
  <si>
    <r>
      <t>f</t>
    </r>
    <r>
      <rPr>
        <vertAlign val="subscript"/>
        <sz val="12"/>
        <rFont val="Footlight MT Light"/>
        <family val="1"/>
      </rPr>
      <t>s1</t>
    </r>
  </si>
  <si>
    <r>
      <t>f</t>
    </r>
    <r>
      <rPr>
        <vertAlign val="subscript"/>
        <sz val="12"/>
        <rFont val="Footlight MT Light"/>
        <family val="1"/>
      </rPr>
      <t>h1</t>
    </r>
  </si>
  <si>
    <r>
      <t>f</t>
    </r>
    <r>
      <rPr>
        <vertAlign val="subscript"/>
        <sz val="12"/>
        <rFont val="Footlight MT Light"/>
        <family val="1"/>
      </rPr>
      <t>d</t>
    </r>
  </si>
  <si>
    <r>
      <t>f</t>
    </r>
    <r>
      <rPr>
        <vertAlign val="subscript"/>
        <sz val="12"/>
        <rFont val="Footlight MT Light"/>
        <family val="1"/>
      </rPr>
      <t>hd</t>
    </r>
  </si>
  <si>
    <r>
      <t>f</t>
    </r>
    <r>
      <rPr>
        <vertAlign val="subscript"/>
        <sz val="12"/>
        <rFont val="Footlight MT Light"/>
        <family val="1"/>
      </rPr>
      <t>s2</t>
    </r>
  </si>
  <si>
    <r>
      <t>f</t>
    </r>
    <r>
      <rPr>
        <vertAlign val="subscript"/>
        <sz val="12"/>
        <rFont val="Footlight MT Light"/>
        <family val="1"/>
      </rPr>
      <t>h2</t>
    </r>
  </si>
  <si>
    <r>
      <t>f</t>
    </r>
    <r>
      <rPr>
        <vertAlign val="subscript"/>
        <sz val="12"/>
        <rFont val="Footlight MT Light"/>
        <family val="1"/>
      </rPr>
      <t>e</t>
    </r>
  </si>
  <si>
    <r>
      <t>f</t>
    </r>
    <r>
      <rPr>
        <vertAlign val="subscript"/>
        <sz val="12"/>
        <rFont val="Footlight MT Light"/>
        <family val="1"/>
      </rPr>
      <t>he</t>
    </r>
  </si>
  <si>
    <r>
      <t>f</t>
    </r>
    <r>
      <rPr>
        <vertAlign val="subscript"/>
        <sz val="12"/>
        <rFont val="Footlight MT Light"/>
        <family val="1"/>
      </rPr>
      <t>s3</t>
    </r>
  </si>
  <si>
    <r>
      <t>f</t>
    </r>
    <r>
      <rPr>
        <vertAlign val="subscript"/>
        <sz val="12"/>
        <rFont val="Footlight MT Light"/>
        <family val="1"/>
      </rPr>
      <t>h3</t>
    </r>
  </si>
  <si>
    <r>
      <t>f</t>
    </r>
    <r>
      <rPr>
        <vertAlign val="subscript"/>
        <sz val="12"/>
        <rFont val="Footlight MT Light"/>
        <family val="1"/>
      </rPr>
      <t>hb</t>
    </r>
  </si>
  <si>
    <r>
      <t>C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=</t>
    </r>
  </si>
  <si>
    <r>
      <t>F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=</t>
    </r>
  </si>
  <si>
    <r>
      <t>F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=</t>
    </r>
  </si>
  <si>
    <r>
      <t>f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=</t>
    </r>
  </si>
  <si>
    <r>
      <t>F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=</t>
    </r>
  </si>
  <si>
    <r>
      <t>f</t>
    </r>
    <r>
      <rPr>
        <vertAlign val="subscript"/>
        <sz val="12"/>
        <rFont val="Footlight MT Light"/>
        <family val="1"/>
      </rPr>
      <t>a</t>
    </r>
    <r>
      <rPr>
        <sz val="12"/>
        <rFont val="Footlight MT Light"/>
        <family val="1"/>
      </rPr>
      <t xml:space="preserve"> = </t>
    </r>
    <r>
      <rPr>
        <i/>
        <sz val="12"/>
        <rFont val="Footlight MT Light"/>
        <family val="1"/>
      </rPr>
      <t>F</t>
    </r>
    <r>
      <rPr>
        <vertAlign val="subscript"/>
        <sz val="12"/>
        <rFont val="Footlight MT Light"/>
        <family val="1"/>
      </rPr>
      <t>0</t>
    </r>
  </si>
  <si>
    <r>
      <t>b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</si>
  <si>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c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=</t>
    </r>
  </si>
  <si>
    <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=</t>
    </r>
  </si>
  <si>
    <r>
      <t>l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</si>
  <si>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=</t>
    </r>
  </si>
  <si>
    <r>
      <t>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</si>
  <si>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L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</si>
  <si>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n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</si>
  <si>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t>f max</t>
  </si>
  <si>
    <t>f min</t>
  </si>
  <si>
    <t>f max/f min</t>
  </si>
  <si>
    <t>ricezione</t>
  </si>
  <si>
    <t>dati</t>
  </si>
  <si>
    <r>
      <t>f</t>
    </r>
    <r>
      <rPr>
        <vertAlign val="subscript"/>
        <sz val="12"/>
        <rFont val="Footlight MT Light"/>
        <family val="1"/>
      </rPr>
      <t>c</t>
    </r>
  </si>
  <si>
    <t>A=</t>
  </si>
  <si>
    <t>B=</t>
  </si>
  <si>
    <r>
      <t>f</t>
    </r>
    <r>
      <rPr>
        <vertAlign val="subscript"/>
        <sz val="12"/>
        <rFont val="Footlight MT Light"/>
        <family val="1"/>
      </rPr>
      <t>hc</t>
    </r>
  </si>
  <si>
    <t>C1 [pF]=</t>
  </si>
  <si>
    <t>C2 [pF]=</t>
  </si>
  <si>
    <t>C3[pF]=</t>
  </si>
  <si>
    <t>metodo con tre punti a zero errore</t>
  </si>
  <si>
    <t>RISULTATI</t>
  </si>
  <si>
    <t>da "Sturley -Radio Receiver Design 1943" pag. 274-280</t>
  </si>
  <si>
    <r>
      <t>C</t>
    </r>
    <r>
      <rPr>
        <vertAlign val="subscript"/>
        <sz val="12"/>
        <rFont val="Footlight MT Light"/>
        <family val="1"/>
      </rPr>
      <t xml:space="preserve"> par aereo</t>
    </r>
  </si>
  <si>
    <r>
      <t>C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(pF)</t>
    </r>
  </si>
  <si>
    <r>
      <t>C</t>
    </r>
    <r>
      <rPr>
        <vertAlign val="subscript"/>
        <sz val="10"/>
        <rFont val="Arial"/>
        <family val="2"/>
      </rPr>
      <t xml:space="preserve">min </t>
    </r>
    <r>
      <rPr>
        <sz val="10"/>
        <rFont val="Arial"/>
        <family val="2"/>
      </rPr>
      <t>(pF)</t>
    </r>
  </si>
  <si>
    <r>
      <t>C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min</t>
    </r>
  </si>
  <si>
    <r>
      <t>LC</t>
    </r>
    <r>
      <rPr>
        <vertAlign val="subscript"/>
        <sz val="10"/>
        <rFont val="Footlight MT Light"/>
        <family val="1"/>
      </rPr>
      <t>min</t>
    </r>
  </si>
  <si>
    <r>
      <t>LC</t>
    </r>
    <r>
      <rPr>
        <vertAlign val="subscript"/>
        <sz val="10"/>
        <rFont val="Footlight MT Light"/>
        <family val="1"/>
      </rPr>
      <t>max</t>
    </r>
  </si>
  <si>
    <r>
      <t>C</t>
    </r>
    <r>
      <rPr>
        <vertAlign val="subscript"/>
        <sz val="10"/>
        <rFont val="Footlight MT Light"/>
        <family val="1"/>
      </rPr>
      <t>max</t>
    </r>
    <r>
      <rPr>
        <sz val="10"/>
        <rFont val="Footlight MT Light"/>
        <family val="1"/>
      </rPr>
      <t>/C</t>
    </r>
    <r>
      <rPr>
        <vertAlign val="subscript"/>
        <sz val="10"/>
        <rFont val="Footlight MT Light"/>
        <family val="1"/>
      </rPr>
      <t>min</t>
    </r>
  </si>
  <si>
    <r>
      <t>C</t>
    </r>
    <r>
      <rPr>
        <i/>
        <vertAlign val="subscript"/>
        <sz val="10"/>
        <rFont val="Arial"/>
        <family val="2"/>
      </rPr>
      <t xml:space="preserve"> max </t>
    </r>
    <r>
      <rPr>
        <i/>
        <sz val="10"/>
        <rFont val="Arial"/>
        <family val="2"/>
      </rPr>
      <t>(pF)</t>
    </r>
  </si>
  <si>
    <r>
      <t>L     (</t>
    </r>
    <r>
      <rPr>
        <sz val="10"/>
        <rFont val="Symbol"/>
        <family val="1"/>
      </rPr>
      <t>m</t>
    </r>
    <r>
      <rPr>
        <sz val="10"/>
        <rFont val="Arial"/>
        <family val="0"/>
      </rPr>
      <t>H)</t>
    </r>
  </si>
  <si>
    <r>
      <t>C</t>
    </r>
    <r>
      <rPr>
        <vertAlign val="subscript"/>
        <sz val="14"/>
        <color indexed="9"/>
        <rFont val="Footlight MT Light"/>
        <family val="1"/>
      </rPr>
      <t xml:space="preserve">padding </t>
    </r>
    <r>
      <rPr>
        <sz val="14"/>
        <color indexed="9"/>
        <rFont val="Footlight MT Light"/>
        <family val="1"/>
      </rPr>
      <t>=</t>
    </r>
  </si>
  <si>
    <r>
      <t>C</t>
    </r>
    <r>
      <rPr>
        <vertAlign val="subscript"/>
        <sz val="14"/>
        <color indexed="9"/>
        <rFont val="Footlight MT Light"/>
        <family val="1"/>
      </rPr>
      <t xml:space="preserve">trimmer </t>
    </r>
    <r>
      <rPr>
        <sz val="14"/>
        <color indexed="9"/>
        <rFont val="Footlight MT Light"/>
        <family val="1"/>
      </rPr>
      <t>=</t>
    </r>
  </si>
  <si>
    <r>
      <t>L</t>
    </r>
    <r>
      <rPr>
        <vertAlign val="subscript"/>
        <sz val="14"/>
        <color indexed="9"/>
        <rFont val="Footlight MT Light"/>
        <family val="1"/>
      </rPr>
      <t>osc</t>
    </r>
    <r>
      <rPr>
        <sz val="14"/>
        <color indexed="9"/>
        <rFont val="Footlight MT Light"/>
        <family val="1"/>
      </rPr>
      <t>=</t>
    </r>
  </si>
  <si>
    <r>
      <t>m</t>
    </r>
    <r>
      <rPr>
        <sz val="14"/>
        <color indexed="9"/>
        <rFont val="Footlight MT Light"/>
        <family val="1"/>
      </rPr>
      <t>H</t>
    </r>
  </si>
  <si>
    <r>
      <t>L</t>
    </r>
    <r>
      <rPr>
        <vertAlign val="subscript"/>
        <sz val="14"/>
        <color indexed="9"/>
        <rFont val="Footlight MT Light"/>
        <family val="1"/>
      </rPr>
      <t>aereo</t>
    </r>
    <r>
      <rPr>
        <sz val="14"/>
        <color indexed="9"/>
        <rFont val="Footlight MT Light"/>
        <family val="1"/>
      </rPr>
      <t>=</t>
    </r>
  </si>
  <si>
    <r>
      <t>f</t>
    </r>
    <r>
      <rPr>
        <vertAlign val="subscript"/>
        <sz val="12"/>
        <rFont val="Footlight MT Light"/>
        <family val="1"/>
      </rPr>
      <t>s1</t>
    </r>
    <r>
      <rPr>
        <sz val="12"/>
        <rFont val="Footlight MT Light"/>
        <family val="1"/>
      </rPr>
      <t>, f</t>
    </r>
    <r>
      <rPr>
        <vertAlign val="subscript"/>
        <sz val="12"/>
        <rFont val="Footlight MT Light"/>
        <family val="1"/>
      </rPr>
      <t>s2</t>
    </r>
    <r>
      <rPr>
        <sz val="12"/>
        <rFont val="Footlight MT Light"/>
        <family val="1"/>
      </rPr>
      <t xml:space="preserve"> e f</t>
    </r>
    <r>
      <rPr>
        <vertAlign val="subscript"/>
        <sz val="12"/>
        <rFont val="Footlight MT Light"/>
        <family val="1"/>
      </rPr>
      <t>s3</t>
    </r>
    <r>
      <rPr>
        <sz val="12"/>
        <rFont val="Footlight MT Light"/>
        <family val="1"/>
      </rPr>
      <t xml:space="preserve"> sono te tre frequenze a zero errore</t>
    </r>
  </si>
  <si>
    <r>
      <t>f</t>
    </r>
    <r>
      <rPr>
        <vertAlign val="subscript"/>
        <sz val="12"/>
        <rFont val="Footlight MT Light"/>
        <family val="1"/>
      </rPr>
      <t>a</t>
    </r>
    <r>
      <rPr>
        <sz val="12"/>
        <rFont val="Footlight MT Light"/>
        <family val="1"/>
      </rPr>
      <t>, f</t>
    </r>
    <r>
      <rPr>
        <vertAlign val="subscript"/>
        <sz val="12"/>
        <rFont val="Footlight MT Light"/>
        <family val="1"/>
      </rPr>
      <t>d</t>
    </r>
    <r>
      <rPr>
        <sz val="12"/>
        <rFont val="Footlight MT Light"/>
        <family val="1"/>
      </rPr>
      <t>, f</t>
    </r>
    <r>
      <rPr>
        <vertAlign val="subscript"/>
        <sz val="12"/>
        <rFont val="Footlight MT Light"/>
        <family val="1"/>
      </rPr>
      <t>e</t>
    </r>
    <r>
      <rPr>
        <sz val="12"/>
        <rFont val="Footlight MT Light"/>
        <family val="1"/>
      </rPr>
      <t xml:space="preserve"> e f</t>
    </r>
    <r>
      <rPr>
        <vertAlign val="subscript"/>
        <sz val="12"/>
        <rFont val="Footlight MT Light"/>
        <family val="1"/>
      </rPr>
      <t>b</t>
    </r>
    <r>
      <rPr>
        <sz val="12"/>
        <rFont val="Footlight MT Light"/>
        <family val="1"/>
      </rPr>
      <t xml:space="preserve"> sono l e frequenze a massimo errore</t>
    </r>
  </si>
  <si>
    <r>
      <t>C</t>
    </r>
    <r>
      <rPr>
        <vertAlign val="subscript"/>
        <sz val="12"/>
        <rFont val="Footlight MT Light"/>
        <family val="1"/>
      </rPr>
      <t>padding</t>
    </r>
    <r>
      <rPr>
        <sz val="10"/>
        <rFont val="Footlight MT Light"/>
        <family val="1"/>
      </rPr>
      <t xml:space="preserve"> </t>
    </r>
    <r>
      <rPr>
        <sz val="12"/>
        <rFont val="Footlight MT Light"/>
        <family val="1"/>
      </rPr>
      <t>influisce sull' errore alle frequenze più basse</t>
    </r>
  </si>
  <si>
    <r>
      <t>C</t>
    </r>
    <r>
      <rPr>
        <vertAlign val="subscript"/>
        <sz val="12"/>
        <rFont val="Footlight MT Light"/>
        <family val="1"/>
      </rPr>
      <t>trimmer</t>
    </r>
    <r>
      <rPr>
        <sz val="12"/>
        <rFont val="Footlight MT Light"/>
        <family val="1"/>
      </rPr>
      <t xml:space="preserve"> influisce sull'errore alle frequenze più alte</t>
    </r>
  </si>
  <si>
    <t>( a differenza del circuito previsto da Terman)</t>
  </si>
  <si>
    <t>risultati</t>
  </si>
  <si>
    <r>
      <t>N. B. il trimmer osc. è in parallelo alla bobina oscillatrice (T</t>
    </r>
    <r>
      <rPr>
        <b/>
        <vertAlign val="subscript"/>
        <sz val="12"/>
        <color indexed="12"/>
        <rFont val="Footlight MT Light"/>
        <family val="1"/>
      </rPr>
      <t>L</t>
    </r>
    <r>
      <rPr>
        <b/>
        <sz val="12"/>
        <color indexed="12"/>
        <rFont val="Footlight MT Light"/>
        <family val="1"/>
      </rPr>
      <t xml:space="preserve"> di figura)</t>
    </r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</si>
</sst>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€&quot;\ * #,##0_);_(&quot;€&quot;\ * \(#,##0\);_(&quot;€&quot;\ * &quot;-&quot;_);_(@_)"/>
    <numFmt numFmtId="165" formatCode="_(* #,##0_);_(* \(#,##0\);_(* &quot;-&quot;_);_(@_)"/>
    <numFmt numFmtId="166" formatCode="_(&quot;€&quot;\ * #,##0.00_);_(&quot;€&quot;\ * \(#,##0.00\);_(&quot;€&quot;\ * &quot;-&quot;??_);_(@_)"/>
    <numFmt numFmtId="167" formatCode="_(* #,##0.00_);_(* \(#,##0.00\);_(* &quot;-&quot;??_);_(@_)"/>
    <numFmt numFmtId="168" formatCode="_(* #,##0.000_);_(* \(#,##0.000\);_(* &quot;-&quot;??_);_(@_)"/>
    <numFmt numFmtId="169" formatCode="0.000000"/>
    <numFmt numFmtId="170" formatCode="0.00000"/>
    <numFmt numFmtId="171" formatCode="0.0000"/>
    <numFmt numFmtId="172" formatCode="0.000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?_);_(@_)"/>
    <numFmt numFmtId="177" formatCode="0.0"/>
    <numFmt numFmtId="178" formatCode="#,##0.00;[Red]#,##0.00"/>
    <numFmt numFmtId="179" formatCode="#,##0.000"/>
    <numFmt numFmtId="180" formatCode="_(* #,##0.00000_);_(* \(#,##0.00000\);_(* &quot;-&quot;??_);_(@_)"/>
    <numFmt numFmtId="181" formatCode="_(* #,##0.000000_);_(* \(#,##0.000000\);_(* &quot;-&quot;??_);_(@_)"/>
    <numFmt numFmtId="182" formatCode="_(* #,##0.00000000_);_(* \(#,##0.00000000\);_(* &quot;-&quot;??_);_(@_)"/>
    <numFmt numFmtId="183" formatCode="0.00000000"/>
    <numFmt numFmtId="184" formatCode="#,##0;[Red]#,##0"/>
    <numFmt numFmtId="185" formatCode="0.000000000"/>
    <numFmt numFmtId="186" formatCode="_(* #,##0.00_);_(* \(#,##0.00\);_(* &quot;-&quot;???_);_(@_)"/>
    <numFmt numFmtId="187" formatCode="_(* #,##0.0_);_(* \(#,##0.0\);_(* &quot;-&quot;???_);_(@_)"/>
    <numFmt numFmtId="188" formatCode="_-* #,##0.000_-;\-* #,##0.000_-;_-* &quot;-&quot;???_-;_-@_-"/>
    <numFmt numFmtId="189" formatCode="_-* #,##0.0_-;\-* #,##0.0_-;_-* &quot;-&quot;?_-;_-@_-"/>
    <numFmt numFmtId="190" formatCode="_-* #,##0.00_-;\-* #,##0.00_-;_-* &quot;-&quot;?_-;_-@_-"/>
    <numFmt numFmtId="191" formatCode="_-* #,##0.0_-;\-* #,##0.0_-;_-* &quot;-&quot;???_-;_-@_-"/>
    <numFmt numFmtId="192" formatCode="_-* #,##0.000000_-;\-* #,##0.000000_-;_-* &quot;-&quot;???_-;_-@_-"/>
    <numFmt numFmtId="193" formatCode="_(* #,##0.000000_);_(* \(#,##0.000000\);_(* &quot;-&quot;???_);_(@_)"/>
    <numFmt numFmtId="194" formatCode="_-* #,##0.000000_-;\-* #,##0.000000_-;_-* &quot;-&quot;??????_-;_-@_-"/>
    <numFmt numFmtId="195" formatCode="_-* #,##0.00000_-;\-* #,##0.00000_-;_-* &quot;-&quot;???_-;_-@_-"/>
    <numFmt numFmtId="196" formatCode="_-* #,##0.0000_-;\-* #,##0.0000_-;_-* &quot;-&quot;???_-;_-@_-"/>
    <numFmt numFmtId="197" formatCode="#,##0.000_ ;\-#,##0.000\ "/>
    <numFmt numFmtId="198" formatCode="0.0000000"/>
    <numFmt numFmtId="199" formatCode="#,##0.0"/>
  </numFmts>
  <fonts count="40">
    <font>
      <sz val="10"/>
      <name val="Arial"/>
      <family val="0"/>
    </font>
    <font>
      <sz val="8"/>
      <name val="Arial"/>
      <family val="0"/>
    </font>
    <font>
      <sz val="24"/>
      <color indexed="10"/>
      <name val="Cooper Std Black"/>
      <family val="1"/>
    </font>
    <font>
      <i/>
      <sz val="10"/>
      <color indexed="12"/>
      <name val="Bookman Old Style"/>
      <family val="1"/>
    </font>
    <font>
      <vertAlign val="subscript"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vertAlign val="subscript"/>
      <sz val="12"/>
      <name val="Footlight MT Light"/>
      <family val="1"/>
    </font>
    <font>
      <sz val="12"/>
      <name val="Footlight MT Light"/>
      <family val="1"/>
    </font>
    <font>
      <i/>
      <sz val="12"/>
      <name val="Footlight MT Light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Symbol"/>
      <family val="1"/>
    </font>
    <font>
      <b/>
      <sz val="10"/>
      <name val="Times New Roman"/>
      <family val="1"/>
    </font>
    <font>
      <vertAlign val="subscript"/>
      <sz val="11"/>
      <name val="Times New Roman"/>
      <family val="1"/>
    </font>
    <font>
      <sz val="10"/>
      <name val="Footlight MT Light"/>
      <family val="1"/>
    </font>
    <font>
      <sz val="10"/>
      <color indexed="8"/>
      <name val="Footlight MT Light"/>
      <family val="1"/>
    </font>
    <font>
      <sz val="10"/>
      <color indexed="12"/>
      <name val="Footlight MT Light"/>
      <family val="1"/>
    </font>
    <font>
      <sz val="10"/>
      <color indexed="10"/>
      <name val="Footlight MT Light"/>
      <family val="1"/>
    </font>
    <font>
      <sz val="11"/>
      <name val="Arial"/>
      <family val="0"/>
    </font>
    <font>
      <sz val="20"/>
      <color indexed="12"/>
      <name val="Copperplate Gothic Bold"/>
      <family val="2"/>
    </font>
    <font>
      <sz val="10"/>
      <color indexed="12"/>
      <name val="Arial"/>
      <family val="0"/>
    </font>
    <font>
      <vertAlign val="subscript"/>
      <sz val="10"/>
      <name val="Arial"/>
      <family val="2"/>
    </font>
    <font>
      <sz val="10"/>
      <color indexed="18"/>
      <name val="Footlight MT Light"/>
      <family val="1"/>
    </font>
    <font>
      <vertAlign val="subscript"/>
      <sz val="10"/>
      <name val="Footlight MT Light"/>
      <family val="1"/>
    </font>
    <font>
      <sz val="10"/>
      <color indexed="55"/>
      <name val="Footlight MT Light"/>
      <family val="1"/>
    </font>
    <font>
      <i/>
      <sz val="10"/>
      <name val="Arial"/>
      <family val="0"/>
    </font>
    <font>
      <i/>
      <vertAlign val="subscript"/>
      <sz val="10"/>
      <name val="Arial"/>
      <family val="2"/>
    </font>
    <font>
      <sz val="8"/>
      <color indexed="12"/>
      <name val="Arial"/>
      <family val="2"/>
    </font>
    <font>
      <b/>
      <sz val="14"/>
      <color indexed="12"/>
      <name val="Footlight MT Light"/>
      <family val="1"/>
    </font>
    <font>
      <sz val="8"/>
      <color indexed="55"/>
      <name val="Arial"/>
      <family val="2"/>
    </font>
    <font>
      <vertAlign val="subscript"/>
      <sz val="14"/>
      <color indexed="9"/>
      <name val="Footlight MT Light"/>
      <family val="1"/>
    </font>
    <font>
      <sz val="14"/>
      <color indexed="9"/>
      <name val="Footlight MT Light"/>
      <family val="1"/>
    </font>
    <font>
      <sz val="14"/>
      <color indexed="9"/>
      <name val="Symbol"/>
      <family val="1"/>
    </font>
    <font>
      <sz val="11.5"/>
      <name val="Arial"/>
      <family val="0"/>
    </font>
    <font>
      <b/>
      <sz val="12"/>
      <color indexed="12"/>
      <name val="Footlight MT Light"/>
      <family val="1"/>
    </font>
    <font>
      <b/>
      <vertAlign val="subscript"/>
      <sz val="12"/>
      <color indexed="12"/>
      <name val="Footlight MT Light"/>
      <family val="1"/>
    </font>
    <font>
      <b/>
      <i/>
      <sz val="12"/>
      <color indexed="12"/>
      <name val="Footlight MT Light"/>
      <family val="1"/>
    </font>
    <font>
      <b/>
      <sz val="10"/>
      <color indexed="10"/>
      <name val="Footlight MT Light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1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" xfId="0" applyFont="1" applyBorder="1" applyAlignment="1">
      <alignment horizontal="centerContinuous" vertical="center"/>
    </xf>
    <xf numFmtId="0" fontId="16" fillId="0" borderId="3" xfId="0" applyFont="1" applyBorder="1" applyAlignment="1">
      <alignment horizontal="centerContinuous" vertical="center"/>
    </xf>
    <xf numFmtId="0" fontId="16" fillId="0" borderId="1" xfId="0" applyFont="1" applyBorder="1" applyAlignment="1">
      <alignment/>
    </xf>
    <xf numFmtId="0" fontId="0" fillId="0" borderId="2" xfId="0" applyBorder="1" applyAlignment="1">
      <alignment/>
    </xf>
    <xf numFmtId="0" fontId="17" fillId="0" borderId="4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169" fontId="16" fillId="0" borderId="0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91" fontId="16" fillId="0" borderId="0" xfId="0" applyNumberFormat="1" applyFont="1" applyAlignment="1">
      <alignment/>
    </xf>
    <xf numFmtId="167" fontId="17" fillId="0" borderId="7" xfId="15" applyNumberFormat="1" applyFont="1" applyFill="1" applyBorder="1" applyAlignment="1">
      <alignment/>
    </xf>
    <xf numFmtId="176" fontId="19" fillId="0" borderId="5" xfId="0" applyNumberFormat="1" applyFont="1" applyFill="1" applyBorder="1" applyAlignment="1">
      <alignment horizontal="center"/>
    </xf>
    <xf numFmtId="168" fontId="16" fillId="0" borderId="6" xfId="15" applyNumberFormat="1" applyFont="1" applyBorder="1" applyAlignment="1">
      <alignment/>
    </xf>
    <xf numFmtId="187" fontId="17" fillId="0" borderId="0" xfId="0" applyNumberFormat="1" applyFont="1" applyFill="1" applyBorder="1" applyAlignment="1">
      <alignment horizontal="center"/>
    </xf>
    <xf numFmtId="168" fontId="17" fillId="0" borderId="5" xfId="15" applyNumberFormat="1" applyFont="1" applyFill="1" applyBorder="1" applyAlignment="1">
      <alignment/>
    </xf>
    <xf numFmtId="168" fontId="16" fillId="0" borderId="0" xfId="15" applyNumberFormat="1" applyFont="1" applyFill="1" applyBorder="1" applyAlignment="1">
      <alignment/>
    </xf>
    <xf numFmtId="192" fontId="16" fillId="0" borderId="6" xfId="15" applyNumberFormat="1" applyFont="1" applyBorder="1" applyAlignment="1">
      <alignment/>
    </xf>
    <xf numFmtId="188" fontId="18" fillId="0" borderId="5" xfId="0" applyNumberFormat="1" applyFont="1" applyBorder="1" applyAlignment="1">
      <alignment/>
    </xf>
    <xf numFmtId="197" fontId="16" fillId="0" borderId="6" xfId="0" applyNumberFormat="1" applyFont="1" applyBorder="1" applyAlignment="1">
      <alignment/>
    </xf>
    <xf numFmtId="0" fontId="8" fillId="2" borderId="0" xfId="0" applyFont="1" applyFill="1" applyBorder="1" applyAlignment="1">
      <alignment horizontal="center"/>
    </xf>
    <xf numFmtId="169" fontId="16" fillId="2" borderId="0" xfId="15" applyNumberFormat="1" applyFont="1" applyFill="1" applyBorder="1" applyAlignment="1">
      <alignment horizontal="center"/>
    </xf>
    <xf numFmtId="167" fontId="17" fillId="2" borderId="7" xfId="15" applyNumberFormat="1" applyFont="1" applyFill="1" applyBorder="1" applyAlignment="1">
      <alignment/>
    </xf>
    <xf numFmtId="168" fontId="16" fillId="2" borderId="5" xfId="15" applyNumberFormat="1" applyFont="1" applyFill="1" applyBorder="1" applyAlignment="1">
      <alignment/>
    </xf>
    <xf numFmtId="168" fontId="16" fillId="2" borderId="6" xfId="15" applyNumberFormat="1" applyFont="1" applyFill="1" applyBorder="1" applyAlignment="1">
      <alignment/>
    </xf>
    <xf numFmtId="187" fontId="16" fillId="2" borderId="0" xfId="15" applyNumberFormat="1" applyFont="1" applyFill="1" applyBorder="1" applyAlignment="1">
      <alignment/>
    </xf>
    <xf numFmtId="168" fontId="16" fillId="3" borderId="0" xfId="15" applyNumberFormat="1" applyFont="1" applyFill="1" applyBorder="1" applyAlignment="1">
      <alignment/>
    </xf>
    <xf numFmtId="181" fontId="16" fillId="2" borderId="6" xfId="15" applyNumberFormat="1" applyFont="1" applyFill="1" applyBorder="1" applyAlignment="1">
      <alignment/>
    </xf>
    <xf numFmtId="188" fontId="18" fillId="2" borderId="5" xfId="0" applyNumberFormat="1" applyFont="1" applyFill="1" applyBorder="1" applyAlignment="1">
      <alignment/>
    </xf>
    <xf numFmtId="197" fontId="16" fillId="2" borderId="6" xfId="0" applyNumberFormat="1" applyFont="1" applyFill="1" applyBorder="1" applyAlignment="1">
      <alignment/>
    </xf>
    <xf numFmtId="168" fontId="16" fillId="0" borderId="5" xfId="15" applyNumberFormat="1" applyFont="1" applyFill="1" applyBorder="1" applyAlignment="1">
      <alignment horizontal="center"/>
    </xf>
    <xf numFmtId="187" fontId="16" fillId="0" borderId="0" xfId="15" applyNumberFormat="1" applyFont="1" applyFill="1" applyBorder="1" applyAlignment="1">
      <alignment/>
    </xf>
    <xf numFmtId="168" fontId="16" fillId="0" borderId="5" xfId="15" applyNumberFormat="1" applyFont="1" applyFill="1" applyBorder="1" applyAlignment="1">
      <alignment/>
    </xf>
    <xf numFmtId="181" fontId="16" fillId="0" borderId="6" xfId="15" applyNumberFormat="1" applyFont="1" applyBorder="1" applyAlignment="1">
      <alignment/>
    </xf>
    <xf numFmtId="167" fontId="16" fillId="0" borderId="7" xfId="0" applyNumberFormat="1" applyFont="1" applyBorder="1" applyAlignment="1">
      <alignment/>
    </xf>
    <xf numFmtId="167" fontId="17" fillId="0" borderId="8" xfId="15" applyNumberFormat="1" applyFont="1" applyFill="1" applyBorder="1" applyAlignment="1">
      <alignment/>
    </xf>
    <xf numFmtId="168" fontId="16" fillId="0" borderId="9" xfId="15" applyNumberFormat="1" applyFont="1" applyFill="1" applyBorder="1" applyAlignment="1">
      <alignment/>
    </xf>
    <xf numFmtId="168" fontId="16" fillId="0" borderId="10" xfId="15" applyNumberFormat="1" applyFont="1" applyBorder="1" applyAlignment="1">
      <alignment/>
    </xf>
    <xf numFmtId="187" fontId="16" fillId="0" borderId="11" xfId="15" applyNumberFormat="1" applyFont="1" applyFill="1" applyBorder="1" applyAlignment="1">
      <alignment/>
    </xf>
    <xf numFmtId="168" fontId="16" fillId="0" borderId="11" xfId="15" applyNumberFormat="1" applyFont="1" applyFill="1" applyBorder="1" applyAlignment="1">
      <alignment/>
    </xf>
    <xf numFmtId="181" fontId="16" fillId="0" borderId="10" xfId="15" applyNumberFormat="1" applyFont="1" applyBorder="1" applyAlignment="1">
      <alignment/>
    </xf>
    <xf numFmtId="188" fontId="18" fillId="0" borderId="9" xfId="0" applyNumberFormat="1" applyFont="1" applyBorder="1" applyAlignment="1">
      <alignment/>
    </xf>
    <xf numFmtId="197" fontId="16" fillId="0" borderId="10" xfId="0" applyNumberFormat="1" applyFont="1" applyBorder="1" applyAlignment="1">
      <alignment/>
    </xf>
    <xf numFmtId="0" fontId="2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1" xfId="0" applyFont="1" applyBorder="1" applyAlignment="1">
      <alignment horizontal="center"/>
    </xf>
    <xf numFmtId="176" fontId="17" fillId="0" borderId="5" xfId="0" applyNumberFormat="1" applyFont="1" applyFill="1" applyBorder="1" applyAlignment="1">
      <alignment horizontal="center"/>
    </xf>
    <xf numFmtId="176" fontId="17" fillId="0" borderId="0" xfId="0" applyNumberFormat="1" applyFont="1" applyFill="1" applyBorder="1" applyAlignment="1">
      <alignment horizontal="center"/>
    </xf>
    <xf numFmtId="176" fontId="18" fillId="0" borderId="5" xfId="0" applyNumberFormat="1" applyFont="1" applyBorder="1" applyAlignment="1">
      <alignment/>
    </xf>
    <xf numFmtId="172" fontId="16" fillId="0" borderId="6" xfId="0" applyNumberFormat="1" applyFont="1" applyBorder="1" applyAlignment="1">
      <alignment/>
    </xf>
    <xf numFmtId="179" fontId="16" fillId="0" borderId="0" xfId="0" applyNumberFormat="1" applyFont="1" applyAlignment="1">
      <alignment/>
    </xf>
    <xf numFmtId="168" fontId="16" fillId="2" borderId="0" xfId="15" applyNumberFormat="1" applyFont="1" applyFill="1" applyBorder="1" applyAlignment="1">
      <alignment/>
    </xf>
    <xf numFmtId="176" fontId="18" fillId="2" borderId="5" xfId="0" applyNumberFormat="1" applyFont="1" applyFill="1" applyBorder="1" applyAlignment="1">
      <alignment/>
    </xf>
    <xf numFmtId="172" fontId="16" fillId="2" borderId="6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175" fontId="16" fillId="0" borderId="0" xfId="15" applyNumberFormat="1" applyFont="1" applyAlignment="1">
      <alignment/>
    </xf>
    <xf numFmtId="0" fontId="0" fillId="0" borderId="9" xfId="0" applyBorder="1" applyAlignment="1">
      <alignment/>
    </xf>
    <xf numFmtId="0" fontId="0" fillId="0" borderId="11" xfId="0" applyFont="1" applyBorder="1" applyAlignment="1">
      <alignment horizontal="center"/>
    </xf>
    <xf numFmtId="172" fontId="1" fillId="0" borderId="9" xfId="15" applyNumberFormat="1" applyFont="1" applyBorder="1" applyAlignment="1">
      <alignment horizontal="center"/>
    </xf>
    <xf numFmtId="0" fontId="16" fillId="0" borderId="0" xfId="0" applyFont="1" applyAlignment="1">
      <alignment/>
    </xf>
    <xf numFmtId="176" fontId="18" fillId="0" borderId="9" xfId="0" applyNumberFormat="1" applyFont="1" applyBorder="1" applyAlignment="1">
      <alignment/>
    </xf>
    <xf numFmtId="172" fontId="16" fillId="0" borderId="10" xfId="0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168" fontId="24" fillId="0" borderId="0" xfId="15" applyNumberFormat="1" applyFont="1" applyFill="1" applyBorder="1" applyAlignment="1">
      <alignment/>
    </xf>
    <xf numFmtId="1" fontId="19" fillId="0" borderId="0" xfId="15" applyNumberFormat="1" applyFont="1" applyAlignment="1">
      <alignment horizontal="right"/>
    </xf>
    <xf numFmtId="175" fontId="19" fillId="0" borderId="0" xfId="15" applyNumberFormat="1" applyFont="1" applyAlignment="1">
      <alignment/>
    </xf>
    <xf numFmtId="175" fontId="16" fillId="0" borderId="4" xfId="15" applyNumberFormat="1" applyFont="1" applyBorder="1" applyAlignment="1">
      <alignment/>
    </xf>
    <xf numFmtId="175" fontId="16" fillId="0" borderId="7" xfId="15" applyNumberFormat="1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176" fontId="16" fillId="0" borderId="0" xfId="0" applyNumberFormat="1" applyFont="1" applyAlignment="1">
      <alignment/>
    </xf>
    <xf numFmtId="172" fontId="16" fillId="0" borderId="7" xfId="0" applyNumberFormat="1" applyFont="1" applyBorder="1" applyAlignment="1">
      <alignment/>
    </xf>
    <xf numFmtId="0" fontId="27" fillId="0" borderId="5" xfId="0" applyFont="1" applyBorder="1" applyAlignment="1">
      <alignment horizontal="center"/>
    </xf>
    <xf numFmtId="172" fontId="17" fillId="0" borderId="7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188" fontId="16" fillId="0" borderId="8" xfId="0" applyNumberFormat="1" applyFont="1" applyBorder="1" applyAlignment="1">
      <alignment/>
    </xf>
    <xf numFmtId="177" fontId="19" fillId="0" borderId="0" xfId="15" applyNumberFormat="1" applyFont="1" applyAlignment="1">
      <alignment horizontal="right"/>
    </xf>
    <xf numFmtId="177" fontId="19" fillId="0" borderId="0" xfId="15" applyNumberFormat="1" applyFont="1" applyAlignment="1">
      <alignment/>
    </xf>
    <xf numFmtId="0" fontId="0" fillId="0" borderId="9" xfId="0" applyBorder="1" applyAlignment="1">
      <alignment horizontal="center"/>
    </xf>
    <xf numFmtId="176" fontId="29" fillId="0" borderId="12" xfId="0" applyNumberFormat="1" applyFont="1" applyFill="1" applyBorder="1" applyAlignment="1">
      <alignment/>
    </xf>
    <xf numFmtId="168" fontId="26" fillId="0" borderId="0" xfId="15" applyNumberFormat="1" applyFont="1" applyFill="1" applyBorder="1" applyAlignment="1">
      <alignment/>
    </xf>
    <xf numFmtId="0" fontId="30" fillId="4" borderId="0" xfId="0" applyFont="1" applyFill="1" applyAlignment="1">
      <alignment horizontal="centerContinuous" vertical="center"/>
    </xf>
    <xf numFmtId="176" fontId="31" fillId="0" borderId="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0" fillId="4" borderId="0" xfId="0" applyFill="1" applyAlignment="1">
      <alignment/>
    </xf>
    <xf numFmtId="0" fontId="33" fillId="5" borderId="0" xfId="0" applyFont="1" applyFill="1" applyBorder="1" applyAlignment="1">
      <alignment horizontal="right"/>
    </xf>
    <xf numFmtId="190" fontId="33" fillId="5" borderId="0" xfId="0" applyNumberFormat="1" applyFont="1" applyFill="1" applyBorder="1" applyAlignment="1">
      <alignment horizontal="right"/>
    </xf>
    <xf numFmtId="0" fontId="33" fillId="5" borderId="0" xfId="0" applyFont="1" applyFill="1" applyBorder="1" applyAlignment="1">
      <alignment/>
    </xf>
    <xf numFmtId="171" fontId="16" fillId="0" borderId="0" xfId="0" applyNumberFormat="1" applyFont="1" applyAlignment="1">
      <alignment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88" fontId="16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167" fontId="16" fillId="0" borderId="2" xfId="15" applyNumberFormat="1" applyFont="1" applyFill="1" applyBorder="1" applyAlignment="1">
      <alignment horizontal="center"/>
    </xf>
    <xf numFmtId="190" fontId="33" fillId="5" borderId="0" xfId="0" applyNumberFormat="1" applyFont="1" applyFill="1" applyBorder="1" applyAlignment="1">
      <alignment/>
    </xf>
    <xf numFmtId="0" fontId="34" fillId="5" borderId="0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8" fillId="2" borderId="5" xfId="0" applyFont="1" applyFill="1" applyBorder="1" applyAlignment="1">
      <alignment horizontal="center"/>
    </xf>
    <xf numFmtId="167" fontId="16" fillId="2" borderId="6" xfId="15" applyNumberFormat="1" applyFont="1" applyFill="1" applyBorder="1" applyAlignment="1">
      <alignment horizontal="center"/>
    </xf>
    <xf numFmtId="167" fontId="16" fillId="0" borderId="6" xfId="15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/>
    </xf>
    <xf numFmtId="167" fontId="16" fillId="0" borderId="10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5" fillId="0" borderId="3" xfId="0" applyFont="1" applyBorder="1" applyAlignment="1">
      <alignment horizontal="center"/>
    </xf>
    <xf numFmtId="2" fontId="12" fillId="0" borderId="3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6" fillId="0" borderId="3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11" xfId="0" applyFont="1" applyFill="1" applyBorder="1" applyAlignment="1">
      <alignment/>
    </xf>
    <xf numFmtId="0" fontId="8" fillId="0" borderId="3" xfId="0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14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" fontId="39" fillId="0" borderId="15" xfId="0" applyNumberFormat="1" applyFont="1" applyFill="1" applyBorder="1" applyAlignment="1">
      <alignment horizontal="center"/>
    </xf>
    <xf numFmtId="1" fontId="39" fillId="0" borderId="16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" fontId="39" fillId="0" borderId="17" xfId="0" applyNumberFormat="1" applyFont="1" applyFill="1" applyBorder="1" applyAlignment="1">
      <alignment horizontal="center"/>
    </xf>
    <xf numFmtId="1" fontId="39" fillId="0" borderId="18" xfId="0" applyNumberFormat="1" applyFont="1" applyFill="1" applyBorder="1" applyAlignment="1">
      <alignment horizontal="center"/>
    </xf>
    <xf numFmtId="177" fontId="39" fillId="0" borderId="1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Terman!$K$31:$K$37</c:f>
              <c:numCache/>
            </c:numRef>
          </c:xVal>
          <c:yVal>
            <c:numRef>
              <c:f>Terman!$P$31:$P$37</c:f>
              <c:numCache/>
            </c:numRef>
          </c:yVal>
          <c:smooth val="1"/>
        </c:ser>
        <c:axId val="46416016"/>
        <c:axId val="15090961"/>
      </c:scatterChart>
      <c:valAx>
        <c:axId val="46416016"/>
        <c:scaling>
          <c:orientation val="minMax"/>
          <c:min val="0.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090961"/>
        <c:crosses val="autoZero"/>
        <c:crossBetween val="midCat"/>
        <c:dispUnits/>
      </c:valAx>
      <c:valAx>
        <c:axId val="15090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16016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Sturley!$G$9:$G$15</c:f>
              <c:numCache/>
            </c:numRef>
          </c:xVal>
          <c:yVal>
            <c:numRef>
              <c:f>Sturley!$L$9:$L$15</c:f>
              <c:numCache/>
            </c:numRef>
          </c:yVal>
          <c:smooth val="1"/>
        </c:ser>
        <c:axId val="1600922"/>
        <c:axId val="14408299"/>
      </c:scatterChart>
      <c:valAx>
        <c:axId val="1600922"/>
        <c:scaling>
          <c:orientation val="minMax"/>
          <c:min val="50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408299"/>
        <c:crosses val="autoZero"/>
        <c:crossBetween val="midCat"/>
        <c:dispUnits/>
        <c:majorUnit val="100"/>
        <c:minorUnit val="50"/>
      </c:valAx>
      <c:valAx>
        <c:axId val="14408299"/>
        <c:scaling>
          <c:orientation val="minMax"/>
          <c:min val="4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6009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133350</xdr:colOff>
      <xdr:row>2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62400" y="34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333375</xdr:colOff>
      <xdr:row>6</xdr:row>
      <xdr:rowOff>95250</xdr:rowOff>
    </xdr:from>
    <xdr:to>
      <xdr:col>10</xdr:col>
      <xdr:colOff>142875</xdr:colOff>
      <xdr:row>12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295400"/>
          <a:ext cx="2400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4</xdr:row>
      <xdr:rowOff>123825</xdr:rowOff>
    </xdr:from>
    <xdr:to>
      <xdr:col>20</xdr:col>
      <xdr:colOff>219075</xdr:colOff>
      <xdr:row>15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828675"/>
          <a:ext cx="60388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1238250</xdr:colOff>
      <xdr:row>4</xdr:row>
      <xdr:rowOff>76200</xdr:rowOff>
    </xdr:from>
    <xdr:to>
      <xdr:col>5</xdr:col>
      <xdr:colOff>523875</xdr:colOff>
      <xdr:row>15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781050"/>
          <a:ext cx="31146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11</xdr:col>
      <xdr:colOff>0</xdr:colOff>
      <xdr:row>6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0" y="952500"/>
          <a:ext cx="3333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38</xdr:row>
      <xdr:rowOff>142875</xdr:rowOff>
    </xdr:from>
    <xdr:to>
      <xdr:col>14</xdr:col>
      <xdr:colOff>581025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3019425" y="8705850"/>
        <a:ext cx="78771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17</xdr:row>
      <xdr:rowOff>57150</xdr:rowOff>
    </xdr:from>
    <xdr:to>
      <xdr:col>20</xdr:col>
      <xdr:colOff>47625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8543925" y="3390900"/>
        <a:ext cx="53625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371475</xdr:colOff>
      <xdr:row>35</xdr:row>
      <xdr:rowOff>104775</xdr:rowOff>
    </xdr:from>
    <xdr:to>
      <xdr:col>13</xdr:col>
      <xdr:colOff>19050</xdr:colOff>
      <xdr:row>50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7543800"/>
          <a:ext cx="47815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35</xdr:row>
      <xdr:rowOff>209550</xdr:rowOff>
    </xdr:from>
    <xdr:to>
      <xdr:col>23</xdr:col>
      <xdr:colOff>95250</xdr:colOff>
      <xdr:row>50</xdr:row>
      <xdr:rowOff>95250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7648575"/>
          <a:ext cx="61817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18</xdr:row>
      <xdr:rowOff>0</xdr:rowOff>
    </xdr:from>
    <xdr:to>
      <xdr:col>11</xdr:col>
      <xdr:colOff>9525</xdr:colOff>
      <xdr:row>21</xdr:row>
      <xdr:rowOff>200025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57800" y="3609975"/>
          <a:ext cx="3067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ciano\Documenti\XL\Supereterod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calcolo"/>
      <sheetName val="Terman"/>
      <sheetName val="Sturley"/>
      <sheetName val="RCA"/>
      <sheetName val="oscill-mod"/>
      <sheetName val="radio-galena"/>
      <sheetName val="radio Phonola"/>
      <sheetName val="Oscill. vari."/>
    </sheetNames>
    <sheetDataSet>
      <sheetData sheetId="1">
        <row r="16">
          <cell r="B16">
            <v>190</v>
          </cell>
          <cell r="C16">
            <v>449.9999999999999</v>
          </cell>
          <cell r="D16">
            <v>30</v>
          </cell>
          <cell r="E16">
            <v>487.6547386558718</v>
          </cell>
          <cell r="F16">
            <v>42</v>
          </cell>
          <cell r="H16">
            <v>104.80749667585863</v>
          </cell>
        </row>
        <row r="17">
          <cell r="B17">
            <v>190</v>
          </cell>
          <cell r="C17">
            <v>329.6053572986586</v>
          </cell>
          <cell r="D17">
            <v>30</v>
          </cell>
          <cell r="E17">
            <v>487.6547386558718</v>
          </cell>
          <cell r="F17">
            <v>42</v>
          </cell>
          <cell r="H17">
            <v>104.80749667585863</v>
          </cell>
        </row>
        <row r="18">
          <cell r="B18">
            <v>190</v>
          </cell>
          <cell r="C18">
            <v>241.4215367999476</v>
          </cell>
          <cell r="D18">
            <v>30</v>
          </cell>
          <cell r="E18">
            <v>487.6547386558718</v>
          </cell>
          <cell r="F18">
            <v>42</v>
          </cell>
          <cell r="H18">
            <v>104.80749667585863</v>
          </cell>
        </row>
        <row r="19">
          <cell r="B19">
            <v>190</v>
          </cell>
          <cell r="C19">
            <v>176.83073754786224</v>
          </cell>
          <cell r="D19">
            <v>30</v>
          </cell>
          <cell r="E19">
            <v>487.6547386558718</v>
          </cell>
          <cell r="F19">
            <v>42</v>
          </cell>
          <cell r="H19">
            <v>104.80749667585863</v>
          </cell>
        </row>
        <row r="20">
          <cell r="B20">
            <v>190</v>
          </cell>
          <cell r="C20">
            <v>129.5207965129966</v>
          </cell>
          <cell r="D20">
            <v>30</v>
          </cell>
          <cell r="E20">
            <v>487.6547386558718</v>
          </cell>
          <cell r="F20">
            <v>42</v>
          </cell>
          <cell r="H20">
            <v>104.80749667585863</v>
          </cell>
        </row>
        <row r="21">
          <cell r="B21">
            <v>190</v>
          </cell>
          <cell r="C21">
            <v>94.86832980505136</v>
          </cell>
          <cell r="D21">
            <v>30</v>
          </cell>
          <cell r="E21">
            <v>487.6547386558718</v>
          </cell>
          <cell r="F21">
            <v>42</v>
          </cell>
          <cell r="H21">
            <v>104.80749667585863</v>
          </cell>
        </row>
        <row r="22">
          <cell r="B22">
            <v>190</v>
          </cell>
          <cell r="C22">
            <v>69.48691053715766</v>
          </cell>
          <cell r="D22">
            <v>30</v>
          </cell>
          <cell r="E22">
            <v>487.6547386558718</v>
          </cell>
          <cell r="F22">
            <v>42</v>
          </cell>
          <cell r="H22">
            <v>104.80749667585863</v>
          </cell>
        </row>
        <row r="23">
          <cell r="B23">
            <v>190</v>
          </cell>
          <cell r="C23">
            <v>50.896128833732845</v>
          </cell>
          <cell r="D23">
            <v>30</v>
          </cell>
          <cell r="E23">
            <v>487.6547386558718</v>
          </cell>
          <cell r="F23">
            <v>42</v>
          </cell>
          <cell r="H23">
            <v>104.80749667585863</v>
          </cell>
        </row>
        <row r="24">
          <cell r="B24">
            <v>190</v>
          </cell>
          <cell r="C24">
            <v>37.27919273191351</v>
          </cell>
          <cell r="D24">
            <v>30</v>
          </cell>
          <cell r="E24">
            <v>487.6547386558718</v>
          </cell>
          <cell r="F24">
            <v>42</v>
          </cell>
          <cell r="H24">
            <v>104.80749667585863</v>
          </cell>
        </row>
        <row r="25">
          <cell r="B25">
            <v>190</v>
          </cell>
          <cell r="C25">
            <v>27.305381422684253</v>
          </cell>
          <cell r="D25">
            <v>30</v>
          </cell>
          <cell r="E25">
            <v>487.6547386558718</v>
          </cell>
          <cell r="F25">
            <v>42</v>
          </cell>
          <cell r="H25">
            <v>104.80749667585863</v>
          </cell>
        </row>
        <row r="26">
          <cell r="B26">
            <v>190</v>
          </cell>
          <cell r="C26">
            <v>20</v>
          </cell>
          <cell r="D26">
            <v>30</v>
          </cell>
          <cell r="E26">
            <v>487.6547386558718</v>
          </cell>
          <cell r="F26">
            <v>42</v>
          </cell>
          <cell r="H26">
            <v>104.80749667585863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7"/>
  </sheetPr>
  <dimension ref="B1:Q37"/>
  <sheetViews>
    <sheetView showGridLines="0" tabSelected="1" workbookViewId="0" topLeftCell="A1">
      <selection activeCell="F26" sqref="F26"/>
    </sheetView>
  </sheetViews>
  <sheetFormatPr defaultColWidth="9.140625" defaultRowHeight="12.75"/>
  <cols>
    <col min="2" max="2" width="30.00390625" style="0" bestFit="1" customWidth="1"/>
    <col min="7" max="7" width="11.421875" style="0" customWidth="1"/>
    <col min="11" max="11" width="11.140625" style="0" customWidth="1"/>
    <col min="12" max="12" width="10.7109375" style="0" customWidth="1"/>
    <col min="15" max="15" width="9.8515625" style="0" bestFit="1" customWidth="1"/>
    <col min="16" max="16" width="11.8515625" style="0" bestFit="1" customWidth="1"/>
    <col min="17" max="17" width="10.8515625" style="0" bestFit="1" customWidth="1"/>
  </cols>
  <sheetData>
    <row r="1" ht="12" customHeight="1">
      <c r="E1" s="1"/>
    </row>
    <row r="2" ht="12" customHeight="1"/>
    <row r="3" ht="12" customHeight="1"/>
    <row r="4" ht="19.5" customHeight="1">
      <c r="H4" s="2" t="s"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>
      <c r="B16" s="143" t="s">
        <v>60</v>
      </c>
    </row>
    <row r="17" spans="2:9" ht="19.5" customHeight="1">
      <c r="B17" s="60" t="s">
        <v>1</v>
      </c>
      <c r="C17" s="131" t="s">
        <v>42</v>
      </c>
      <c r="D17" s="139">
        <v>480</v>
      </c>
      <c r="E17" s="15" t="s">
        <v>2</v>
      </c>
      <c r="G17" s="3" t="s">
        <v>43</v>
      </c>
      <c r="H17" s="4">
        <f>D32</f>
        <v>0.6036860279185587</v>
      </c>
      <c r="I17" t="s">
        <v>3</v>
      </c>
    </row>
    <row r="18" spans="2:9" ht="19.5" customHeight="1">
      <c r="B18" s="77" t="s">
        <v>4</v>
      </c>
      <c r="C18" s="134" t="s">
        <v>45</v>
      </c>
      <c r="D18" s="140">
        <v>0.467</v>
      </c>
      <c r="E18" s="136" t="s">
        <v>3</v>
      </c>
      <c r="G18" s="3" t="s">
        <v>44</v>
      </c>
      <c r="H18" s="4">
        <f>D34</f>
        <v>1.08</v>
      </c>
      <c r="I18" t="s">
        <v>3</v>
      </c>
    </row>
    <row r="19" spans="2:9" ht="19.5" customHeight="1">
      <c r="B19" s="77" t="s">
        <v>5</v>
      </c>
      <c r="C19" s="5" t="s">
        <v>47</v>
      </c>
      <c r="D19" s="140">
        <v>0.53</v>
      </c>
      <c r="E19" s="136" t="s">
        <v>3</v>
      </c>
      <c r="G19" s="3" t="s">
        <v>46</v>
      </c>
      <c r="H19" s="4">
        <f>D36</f>
        <v>1.5563139720814414</v>
      </c>
      <c r="I19" t="s">
        <v>3</v>
      </c>
    </row>
    <row r="20" spans="2:8" ht="19.5" customHeight="1">
      <c r="B20" s="80" t="s">
        <v>7</v>
      </c>
      <c r="C20" s="141" t="s">
        <v>8</v>
      </c>
      <c r="D20" s="142">
        <v>1.63</v>
      </c>
      <c r="E20" s="62" t="s">
        <v>3</v>
      </c>
      <c r="G20" s="6" t="s">
        <v>6</v>
      </c>
      <c r="H20" s="4">
        <f>H17+H18+H19</f>
        <v>3.24</v>
      </c>
    </row>
    <row r="21" spans="2:16" ht="19.5" customHeight="1">
      <c r="B21" s="61"/>
      <c r="C21" s="145"/>
      <c r="D21" s="146"/>
      <c r="E21" s="61"/>
      <c r="G21" s="6" t="s">
        <v>48</v>
      </c>
      <c r="H21" s="4">
        <f>H17*H18+H17*H19+H18*H19</f>
        <v>3.2723250000000004</v>
      </c>
      <c r="M21" s="7"/>
      <c r="P21" s="8"/>
    </row>
    <row r="22" spans="2:13" ht="19.5" customHeight="1">
      <c r="B22" s="144" t="s">
        <v>90</v>
      </c>
      <c r="C22" s="137"/>
      <c r="D22" s="138"/>
      <c r="E22" s="137"/>
      <c r="G22" s="6" t="s">
        <v>49</v>
      </c>
      <c r="H22" s="4">
        <f>H17*H18*H19</f>
        <v>1.0146870000000001</v>
      </c>
      <c r="M22" s="7"/>
    </row>
    <row r="23" spans="2:8" ht="19.5" customHeight="1">
      <c r="B23" s="60" t="s">
        <v>9</v>
      </c>
      <c r="C23" s="131" t="s">
        <v>10</v>
      </c>
      <c r="D23" s="132">
        <f>25330/(D17*D19^2)</f>
        <v>187.8634152130058</v>
      </c>
      <c r="E23" s="133" t="s">
        <v>11</v>
      </c>
      <c r="G23" s="6" t="s">
        <v>12</v>
      </c>
      <c r="H23" s="4">
        <f>H20+2*D18</f>
        <v>4.174</v>
      </c>
    </row>
    <row r="24" spans="2:11" ht="19.5" customHeight="1">
      <c r="B24" s="77" t="s">
        <v>13</v>
      </c>
      <c r="C24" s="134" t="s">
        <v>50</v>
      </c>
      <c r="D24" s="135">
        <f>D17*D19^2*(1/H26-1/H24)</f>
        <v>440.381849479194</v>
      </c>
      <c r="E24" s="136" t="s">
        <v>2</v>
      </c>
      <c r="G24" s="6" t="s">
        <v>51</v>
      </c>
      <c r="H24" s="4">
        <f>(H21*H23-H22)/(2*D18)</f>
        <v>13.537470610278374</v>
      </c>
      <c r="K24" s="9"/>
    </row>
    <row r="25" spans="2:11" ht="19.5" customHeight="1">
      <c r="B25" s="77" t="s">
        <v>14</v>
      </c>
      <c r="C25" s="134" t="s">
        <v>52</v>
      </c>
      <c r="D25" s="135">
        <f>D17*D19^2/H24</f>
        <v>9.959910819501859</v>
      </c>
      <c r="E25" s="136" t="s">
        <v>2</v>
      </c>
      <c r="G25" s="6" t="s">
        <v>53</v>
      </c>
      <c r="H25" s="4">
        <f>H24+D18^2+H20*H23-H21</f>
        <v>24.006994610278376</v>
      </c>
      <c r="K25" s="9"/>
    </row>
    <row r="26" spans="2:11" ht="19.5" customHeight="1">
      <c r="B26" s="80" t="s">
        <v>15</v>
      </c>
      <c r="C26" s="147" t="s">
        <v>54</v>
      </c>
      <c r="D26" s="148">
        <f>D23*(H24/H25)*(D24+D25)/D24</f>
        <v>108.33149961477625</v>
      </c>
      <c r="E26" s="149" t="s">
        <v>11</v>
      </c>
      <c r="G26" s="6" t="s">
        <v>55</v>
      </c>
      <c r="H26" s="4">
        <f>(H22*H23+D18^2*H24)/H25</f>
        <v>0.2993992826927059</v>
      </c>
      <c r="K26" s="9"/>
    </row>
    <row r="27" spans="2:5" ht="12.75">
      <c r="B27" s="150"/>
      <c r="C27" s="150"/>
      <c r="D27" s="151"/>
      <c r="E27" s="150"/>
    </row>
    <row r="28" spans="2:17" ht="15.75">
      <c r="B28" s="150"/>
      <c r="C28" s="150"/>
      <c r="D28" s="150"/>
      <c r="E28" s="150"/>
      <c r="J28" s="10" t="s">
        <v>16</v>
      </c>
      <c r="K28" s="11"/>
      <c r="L28" s="11" t="s">
        <v>17</v>
      </c>
      <c r="M28" s="12"/>
      <c r="N28" s="13"/>
      <c r="O28" s="11"/>
      <c r="P28" s="14"/>
      <c r="Q28" s="15"/>
    </row>
    <row r="29" spans="9:17" ht="12.75">
      <c r="I29" s="16" t="s">
        <v>18</v>
      </c>
      <c r="J29" s="17" t="s">
        <v>19</v>
      </c>
      <c r="K29" s="18" t="s">
        <v>20</v>
      </c>
      <c r="L29" s="19" t="s">
        <v>21</v>
      </c>
      <c r="M29" s="17" t="s">
        <v>22</v>
      </c>
      <c r="N29" s="19" t="s">
        <v>23</v>
      </c>
      <c r="O29" s="18" t="s">
        <v>24</v>
      </c>
      <c r="P29" s="20" t="s">
        <v>25</v>
      </c>
      <c r="Q29" s="18" t="s">
        <v>26</v>
      </c>
    </row>
    <row r="30" spans="3:17" ht="15">
      <c r="C30" s="6"/>
      <c r="G30" s="7" t="s">
        <v>27</v>
      </c>
      <c r="I30" s="21" t="s">
        <v>2</v>
      </c>
      <c r="J30" s="17" t="s">
        <v>2</v>
      </c>
      <c r="K30" s="18" t="s">
        <v>3</v>
      </c>
      <c r="L30" s="19" t="s">
        <v>2</v>
      </c>
      <c r="M30" s="17" t="s">
        <v>2</v>
      </c>
      <c r="N30" s="19" t="s">
        <v>2</v>
      </c>
      <c r="O30" s="18" t="s">
        <v>3</v>
      </c>
      <c r="P30" s="20" t="s">
        <v>28</v>
      </c>
      <c r="Q30" s="18" t="s">
        <v>28</v>
      </c>
    </row>
    <row r="31" spans="3:17" ht="17.25">
      <c r="C31" s="5" t="s">
        <v>29</v>
      </c>
      <c r="D31" s="22">
        <f>D19</f>
        <v>0.53</v>
      </c>
      <c r="E31" s="23" t="s">
        <v>30</v>
      </c>
      <c r="F31" s="22">
        <f aca="true" t="shared" si="0" ref="F31:F37">D31+$D$18</f>
        <v>0.9970000000000001</v>
      </c>
      <c r="G31" s="24">
        <f aca="true" t="shared" si="1" ref="G31:G37">10^6/((2*PI()*$D31)^2*$D$23)-$J$31</f>
        <v>480.0056074646874</v>
      </c>
      <c r="H31" s="24"/>
      <c r="I31" s="25">
        <f aca="true" t="shared" si="2" ref="I31:I37">G31</f>
        <v>480.0056074646874</v>
      </c>
      <c r="J31" s="26">
        <v>0</v>
      </c>
      <c r="K31" s="27">
        <f aca="true" t="shared" si="3" ref="K31:K37">10^3/(2*PI()*SQRT($D$23*(I31+J31)))</f>
        <v>0.53</v>
      </c>
      <c r="L31" s="28">
        <f>D24</f>
        <v>440.381849479194</v>
      </c>
      <c r="M31" s="29">
        <f>D25</f>
        <v>9.959910819501859</v>
      </c>
      <c r="N31" s="30">
        <f aca="true" t="shared" si="4" ref="N31:N37">(M31+I31)*L31/(I31+L31+M31)</f>
        <v>231.92619079661947</v>
      </c>
      <c r="O31" s="31">
        <f aca="true" t="shared" si="5" ref="O31:O37">10^3/(2*PI()*SQRT($D$26*N31))</f>
        <v>1.0040789364739604</v>
      </c>
      <c r="P31" s="32">
        <f aca="true" t="shared" si="6" ref="P31:P37">(O31-K31)*1000</f>
        <v>474.07893647396037</v>
      </c>
      <c r="Q31" s="33">
        <f aca="true" t="shared" si="7" ref="Q31:Q37">P31-$D$18*1000</f>
        <v>7.078936473960368</v>
      </c>
    </row>
    <row r="32" spans="3:17" ht="17.25">
      <c r="C32" s="34" t="s">
        <v>31</v>
      </c>
      <c r="D32" s="35">
        <f>D34-SQRT(3/4)*(D34-D19)</f>
        <v>0.6036860279185587</v>
      </c>
      <c r="E32" s="34" t="s">
        <v>32</v>
      </c>
      <c r="F32" s="35">
        <f t="shared" si="0"/>
        <v>1.0706860279185588</v>
      </c>
      <c r="G32" s="24">
        <f t="shared" si="1"/>
        <v>369.97791558033373</v>
      </c>
      <c r="H32" s="24"/>
      <c r="I32" s="36">
        <f t="shared" si="2"/>
        <v>369.97791558033373</v>
      </c>
      <c r="J32" s="37">
        <f aca="true" t="shared" si="8" ref="J32:J37">$J$31</f>
        <v>0</v>
      </c>
      <c r="K32" s="38">
        <f t="shared" si="3"/>
        <v>0.6036860279185587</v>
      </c>
      <c r="L32" s="39">
        <f aca="true" t="shared" si="9" ref="L32:L37">$L$31</f>
        <v>440.381849479194</v>
      </c>
      <c r="M32" s="37">
        <f aca="true" t="shared" si="10" ref="M32:M37">$M$31</f>
        <v>9.959910819501859</v>
      </c>
      <c r="N32" s="40">
        <f t="shared" si="4"/>
        <v>203.9664872085044</v>
      </c>
      <c r="O32" s="41">
        <f t="shared" si="5"/>
        <v>1.0706890124989896</v>
      </c>
      <c r="P32" s="42">
        <f t="shared" si="6"/>
        <v>467.0029845804309</v>
      </c>
      <c r="Q32" s="43">
        <f t="shared" si="7"/>
        <v>0.0029845804309047708</v>
      </c>
    </row>
    <row r="33" spans="3:17" ht="17.25">
      <c r="C33" s="5" t="s">
        <v>33</v>
      </c>
      <c r="D33" s="22">
        <f>D34-(D34-D32)/2</f>
        <v>0.8418430139592794</v>
      </c>
      <c r="E33" s="23" t="s">
        <v>34</v>
      </c>
      <c r="F33" s="22">
        <f t="shared" si="0"/>
        <v>1.3088430139592795</v>
      </c>
      <c r="G33" s="24">
        <f t="shared" si="1"/>
        <v>190.25488894393393</v>
      </c>
      <c r="H33" s="24"/>
      <c r="I33" s="25">
        <f t="shared" si="2"/>
        <v>190.25488894393393</v>
      </c>
      <c r="J33" s="44">
        <f t="shared" si="8"/>
        <v>0</v>
      </c>
      <c r="K33" s="27">
        <f t="shared" si="3"/>
        <v>0.8418430139592792</v>
      </c>
      <c r="L33" s="45">
        <f t="shared" si="9"/>
        <v>440.381849479194</v>
      </c>
      <c r="M33" s="46">
        <f t="shared" si="10"/>
        <v>9.959910819501859</v>
      </c>
      <c r="N33" s="30">
        <f t="shared" si="4"/>
        <v>137.63881518451882</v>
      </c>
      <c r="O33" s="47">
        <f t="shared" si="5"/>
        <v>1.3033837177752645</v>
      </c>
      <c r="P33" s="32">
        <f t="shared" si="6"/>
        <v>461.54070381598535</v>
      </c>
      <c r="Q33" s="33">
        <f t="shared" si="7"/>
        <v>-5.459296184014647</v>
      </c>
    </row>
    <row r="34" spans="3:17" ht="17.25">
      <c r="C34" s="34" t="s">
        <v>35</v>
      </c>
      <c r="D34" s="35">
        <f>(D19+D20)/2</f>
        <v>1.08</v>
      </c>
      <c r="E34" s="34" t="s">
        <v>36</v>
      </c>
      <c r="F34" s="35">
        <f t="shared" si="0"/>
        <v>1.5470000000000002</v>
      </c>
      <c r="G34" s="24">
        <f t="shared" si="1"/>
        <v>115.59805824488228</v>
      </c>
      <c r="H34" s="24"/>
      <c r="I34" s="36">
        <f t="shared" si="2"/>
        <v>115.59805824488228</v>
      </c>
      <c r="J34" s="37">
        <f t="shared" si="8"/>
        <v>0</v>
      </c>
      <c r="K34" s="38">
        <f t="shared" si="3"/>
        <v>1.08</v>
      </c>
      <c r="L34" s="39">
        <f t="shared" si="9"/>
        <v>440.381849479194</v>
      </c>
      <c r="M34" s="37">
        <f t="shared" si="10"/>
        <v>9.959910819501859</v>
      </c>
      <c r="N34" s="40">
        <f t="shared" si="4"/>
        <v>97.70199731787778</v>
      </c>
      <c r="O34" s="41">
        <f t="shared" si="5"/>
        <v>1.5470025625008632</v>
      </c>
      <c r="P34" s="42">
        <f t="shared" si="6"/>
        <v>467.0025625008631</v>
      </c>
      <c r="Q34" s="43">
        <f t="shared" si="7"/>
        <v>0.002562500863120931</v>
      </c>
    </row>
    <row r="35" spans="3:17" ht="17.25">
      <c r="C35" s="5" t="s">
        <v>37</v>
      </c>
      <c r="D35" s="22">
        <f>D34+(D36-D34)/2</f>
        <v>1.3181569860407207</v>
      </c>
      <c r="E35" s="23" t="s">
        <v>38</v>
      </c>
      <c r="F35" s="22">
        <f t="shared" si="0"/>
        <v>1.7851569860407208</v>
      </c>
      <c r="G35" s="24">
        <f t="shared" si="1"/>
        <v>77.60036762631272</v>
      </c>
      <c r="H35" s="24"/>
      <c r="I35" s="48">
        <f t="shared" si="2"/>
        <v>77.60036762631272</v>
      </c>
      <c r="J35" s="46">
        <f t="shared" si="8"/>
        <v>0</v>
      </c>
      <c r="K35" s="27">
        <f t="shared" si="3"/>
        <v>1.3181569860407207</v>
      </c>
      <c r="L35" s="45">
        <f t="shared" si="9"/>
        <v>440.381849479194</v>
      </c>
      <c r="M35" s="46">
        <f t="shared" si="10"/>
        <v>9.959910819501859</v>
      </c>
      <c r="N35" s="30">
        <f t="shared" si="4"/>
        <v>73.03822772097146</v>
      </c>
      <c r="O35" s="47">
        <f t="shared" si="5"/>
        <v>1.7892360541870589</v>
      </c>
      <c r="P35" s="32">
        <f t="shared" si="6"/>
        <v>471.07906814633816</v>
      </c>
      <c r="Q35" s="33">
        <f t="shared" si="7"/>
        <v>4.079068146338159</v>
      </c>
    </row>
    <row r="36" spans="3:17" ht="17.25">
      <c r="C36" s="34" t="s">
        <v>39</v>
      </c>
      <c r="D36" s="35">
        <f>D34+SQRT(3/4)*(D34-D19)</f>
        <v>1.5563139720814414</v>
      </c>
      <c r="E36" s="34" t="s">
        <v>40</v>
      </c>
      <c r="F36" s="35">
        <f t="shared" si="0"/>
        <v>2.0233139720814415</v>
      </c>
      <c r="G36" s="24">
        <f t="shared" si="1"/>
        <v>55.667743467610606</v>
      </c>
      <c r="H36" s="24"/>
      <c r="I36" s="36">
        <f t="shared" si="2"/>
        <v>55.667743467610606</v>
      </c>
      <c r="J36" s="37">
        <f t="shared" si="8"/>
        <v>0</v>
      </c>
      <c r="K36" s="38">
        <f t="shared" si="3"/>
        <v>1.5563139720814412</v>
      </c>
      <c r="L36" s="39">
        <f t="shared" si="9"/>
        <v>440.381849479194</v>
      </c>
      <c r="M36" s="37">
        <f t="shared" si="10"/>
        <v>9.959910819501859</v>
      </c>
      <c r="N36" s="40">
        <f t="shared" si="4"/>
        <v>57.11597817199769</v>
      </c>
      <c r="O36" s="41">
        <f t="shared" si="5"/>
        <v>2.023317065854509</v>
      </c>
      <c r="P36" s="42">
        <f t="shared" si="6"/>
        <v>467.0030937730678</v>
      </c>
      <c r="Q36" s="43">
        <f t="shared" si="7"/>
        <v>0.0030937730678033404</v>
      </c>
    </row>
    <row r="37" spans="3:17" ht="17.25">
      <c r="C37" s="5" t="s">
        <v>8</v>
      </c>
      <c r="D37" s="22">
        <f>D20</f>
        <v>1.63</v>
      </c>
      <c r="E37" s="23" t="s">
        <v>41</v>
      </c>
      <c r="F37" s="22">
        <f t="shared" si="0"/>
        <v>2.097</v>
      </c>
      <c r="G37" s="24">
        <f t="shared" si="1"/>
        <v>50.74845689970671</v>
      </c>
      <c r="H37" s="24"/>
      <c r="I37" s="49">
        <f t="shared" si="2"/>
        <v>50.74845689970671</v>
      </c>
      <c r="J37" s="50">
        <f t="shared" si="8"/>
        <v>0</v>
      </c>
      <c r="K37" s="51">
        <f t="shared" si="3"/>
        <v>1.63</v>
      </c>
      <c r="L37" s="52">
        <f t="shared" si="9"/>
        <v>440.381849479194</v>
      </c>
      <c r="M37" s="50">
        <f t="shared" si="10"/>
        <v>9.959910819501859</v>
      </c>
      <c r="N37" s="53">
        <f t="shared" si="4"/>
        <v>53.353392936950144</v>
      </c>
      <c r="O37" s="54">
        <f t="shared" si="5"/>
        <v>2.0934458542978027</v>
      </c>
      <c r="P37" s="55">
        <f t="shared" si="6"/>
        <v>463.44585429780284</v>
      </c>
      <c r="Q37" s="56">
        <f t="shared" si="7"/>
        <v>-3.554145702197161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12"/>
  </sheetPr>
  <dimension ref="A2:S40"/>
  <sheetViews>
    <sheetView showGridLines="0" workbookViewId="0" topLeftCell="A7">
      <selection activeCell="F21" sqref="F21"/>
    </sheetView>
  </sheetViews>
  <sheetFormatPr defaultColWidth="9.140625" defaultRowHeight="12.75"/>
  <cols>
    <col min="2" max="4" width="10.8515625" style="0" customWidth="1"/>
    <col min="5" max="5" width="14.00390625" style="0" customWidth="1"/>
    <col min="6" max="6" width="10.00390625" style="0" bestFit="1" customWidth="1"/>
    <col min="7" max="7" width="12.00390625" style="0" bestFit="1" customWidth="1"/>
    <col min="8" max="8" width="10.28125" style="0" bestFit="1" customWidth="1"/>
    <col min="9" max="9" width="12.28125" style="0" customWidth="1"/>
    <col min="10" max="10" width="14.140625" style="0" customWidth="1"/>
    <col min="11" max="11" width="10.28125" style="0" bestFit="1" customWidth="1"/>
    <col min="12" max="12" width="8.8515625" style="0" bestFit="1" customWidth="1"/>
    <col min="15" max="15" width="10.28125" style="0" bestFit="1" customWidth="1"/>
  </cols>
  <sheetData>
    <row r="2" spans="2:13" ht="25.5">
      <c r="B2" s="57" t="s">
        <v>68</v>
      </c>
      <c r="C2" s="58"/>
      <c r="D2" s="58"/>
      <c r="E2" s="59"/>
      <c r="F2" s="59"/>
      <c r="G2" s="59"/>
      <c r="H2" s="59"/>
      <c r="I2" s="59"/>
      <c r="J2" s="59"/>
      <c r="K2" s="58"/>
      <c r="L2" s="58"/>
      <c r="M2" s="58"/>
    </row>
    <row r="3" spans="2:13" ht="14.25" customHeight="1">
      <c r="B3" s="57"/>
      <c r="C3" s="58"/>
      <c r="D3" s="58"/>
      <c r="E3" s="59"/>
      <c r="F3" s="59"/>
      <c r="G3" s="59"/>
      <c r="H3" s="59"/>
      <c r="I3" s="59"/>
      <c r="J3" s="59"/>
      <c r="K3" s="58"/>
      <c r="L3" s="58"/>
      <c r="M3" s="58"/>
    </row>
    <row r="4" ht="12.75">
      <c r="B4" s="2" t="s">
        <v>70</v>
      </c>
    </row>
    <row r="5" ht="12.75">
      <c r="B5" s="2"/>
    </row>
    <row r="6" spans="6:13" ht="15.75">
      <c r="F6" s="10" t="s">
        <v>16</v>
      </c>
      <c r="G6" s="11"/>
      <c r="H6" s="11" t="s">
        <v>17</v>
      </c>
      <c r="I6" s="12"/>
      <c r="J6" s="13"/>
      <c r="K6" s="11"/>
      <c r="L6" s="14"/>
      <c r="M6" s="15"/>
    </row>
    <row r="7" spans="2:13" ht="12.75">
      <c r="B7" s="14" t="s">
        <v>59</v>
      </c>
      <c r="C7" s="63" t="s">
        <v>56</v>
      </c>
      <c r="D7" s="154">
        <v>1630</v>
      </c>
      <c r="E7" s="16" t="s">
        <v>18</v>
      </c>
      <c r="F7" s="17" t="s">
        <v>19</v>
      </c>
      <c r="G7" s="18" t="s">
        <v>20</v>
      </c>
      <c r="H7" s="19" t="s">
        <v>21</v>
      </c>
      <c r="I7" s="17" t="s">
        <v>22</v>
      </c>
      <c r="J7" s="19" t="s">
        <v>23</v>
      </c>
      <c r="K7" s="18" t="s">
        <v>24</v>
      </c>
      <c r="L7" s="20" t="s">
        <v>25</v>
      </c>
      <c r="M7" s="18" t="s">
        <v>26</v>
      </c>
    </row>
    <row r="8" spans="2:13" ht="12.75">
      <c r="B8" s="64" t="s">
        <v>59</v>
      </c>
      <c r="C8" s="19" t="s">
        <v>57</v>
      </c>
      <c r="D8" s="155">
        <v>530</v>
      </c>
      <c r="E8" s="21" t="s">
        <v>2</v>
      </c>
      <c r="F8" s="17" t="s">
        <v>2</v>
      </c>
      <c r="G8" s="18" t="s">
        <v>28</v>
      </c>
      <c r="H8" s="19" t="s">
        <v>2</v>
      </c>
      <c r="I8" s="17" t="s">
        <v>2</v>
      </c>
      <c r="J8" s="19" t="s">
        <v>2</v>
      </c>
      <c r="K8" s="18" t="s">
        <v>28</v>
      </c>
      <c r="L8" s="20" t="s">
        <v>28</v>
      </c>
      <c r="M8" s="18" t="s">
        <v>28</v>
      </c>
    </row>
    <row r="9" spans="2:14" ht="12.75">
      <c r="B9" s="65" t="s">
        <v>59</v>
      </c>
      <c r="C9" s="66" t="s">
        <v>58</v>
      </c>
      <c r="D9" s="156">
        <f>D7/D8</f>
        <v>3.0754716981132075</v>
      </c>
      <c r="E9" s="25">
        <f>D11</f>
        <v>442</v>
      </c>
      <c r="F9" s="67">
        <f aca="true" t="shared" si="0" ref="F9:F15">$C$21</f>
        <v>38.83627946127947</v>
      </c>
      <c r="G9" s="27">
        <f aca="true" t="shared" si="1" ref="G9:G15">10^6/(2*PI()*SQRT($C$22*(E9+F9)))</f>
        <v>530</v>
      </c>
      <c r="H9" s="68">
        <f>$J$26</f>
        <v>489.9626471864223</v>
      </c>
      <c r="I9" s="29">
        <f>$J$27</f>
        <v>54.214805104734275</v>
      </c>
      <c r="J9" s="30">
        <f aca="true" t="shared" si="2" ref="J9:J15">I9+E9*H9/(E9+H9)</f>
        <v>286.58837791926686</v>
      </c>
      <c r="K9" s="27">
        <f>10^6/(2*PI()*SQRT($J$28*J9))</f>
        <v>1004.0757913159147</v>
      </c>
      <c r="L9" s="69">
        <f aca="true" t="shared" si="3" ref="L9:L15">K9-G9</f>
        <v>474.07579131591467</v>
      </c>
      <c r="M9" s="70">
        <f aca="true" t="shared" si="4" ref="M9:M15">L9-$D$10</f>
        <v>7.075791315914671</v>
      </c>
      <c r="N9" s="71"/>
    </row>
    <row r="10" spans="2:19" ht="12.75">
      <c r="B10" s="14" t="s">
        <v>25</v>
      </c>
      <c r="C10" s="63" t="s">
        <v>28</v>
      </c>
      <c r="D10" s="157">
        <v>467</v>
      </c>
      <c r="E10" s="36">
        <f>G28</f>
        <v>331.78190008483034</v>
      </c>
      <c r="F10" s="37">
        <f t="shared" si="0"/>
        <v>38.83627946127947</v>
      </c>
      <c r="G10" s="38">
        <f t="shared" si="1"/>
        <v>603.6860279185587</v>
      </c>
      <c r="H10" s="72">
        <f>$J$26</f>
        <v>489.9626471864223</v>
      </c>
      <c r="I10" s="37">
        <f>$J$27</f>
        <v>54.214805104734275</v>
      </c>
      <c r="J10" s="40">
        <f t="shared" si="2"/>
        <v>252.03873785112862</v>
      </c>
      <c r="K10" s="38">
        <f>10^6/(2*PI()*SQRT($J$28*J10))</f>
        <v>1070.6860279185587</v>
      </c>
      <c r="L10" s="73">
        <f t="shared" si="3"/>
        <v>467</v>
      </c>
      <c r="M10" s="74">
        <f t="shared" si="4"/>
        <v>0</v>
      </c>
      <c r="N10" s="71"/>
      <c r="R10" s="7"/>
      <c r="S10" s="7"/>
    </row>
    <row r="11" spans="2:19" ht="15.75">
      <c r="B11" s="75" t="s">
        <v>18</v>
      </c>
      <c r="C11" s="76" t="s">
        <v>72</v>
      </c>
      <c r="D11" s="158">
        <v>442</v>
      </c>
      <c r="E11" s="36">
        <f>G29</f>
        <v>151.74785440396937</v>
      </c>
      <c r="F11" s="44">
        <f t="shared" si="0"/>
        <v>38.83627946127947</v>
      </c>
      <c r="G11" s="27">
        <f t="shared" si="1"/>
        <v>841.8430139592792</v>
      </c>
      <c r="H11" s="30">
        <f>$J$26</f>
        <v>489.9626471864223</v>
      </c>
      <c r="I11" s="46">
        <f>$J$27</f>
        <v>54.214805104734275</v>
      </c>
      <c r="J11" s="30">
        <f t="shared" si="2"/>
        <v>170.07823614468202</v>
      </c>
      <c r="K11" s="27">
        <f>10^6/(2*PI()*SQRT($J$28*J11))</f>
        <v>1303.3810779782214</v>
      </c>
      <c r="L11" s="69">
        <f t="shared" si="3"/>
        <v>461.5380640189421</v>
      </c>
      <c r="M11" s="70">
        <f t="shared" si="4"/>
        <v>-5.461935981057877</v>
      </c>
      <c r="R11" s="7"/>
      <c r="S11" s="7"/>
    </row>
    <row r="12" spans="2:19" ht="15.75">
      <c r="B12" s="77"/>
      <c r="C12" s="78" t="s">
        <v>73</v>
      </c>
      <c r="D12" s="159">
        <v>12</v>
      </c>
      <c r="E12" s="36">
        <f>G31</f>
        <v>76.96182659210996</v>
      </c>
      <c r="F12" s="37">
        <f t="shared" si="0"/>
        <v>38.83627946127947</v>
      </c>
      <c r="G12" s="38">
        <f t="shared" si="1"/>
        <v>1080</v>
      </c>
      <c r="H12" s="72">
        <f>$J$26</f>
        <v>489.9626471864223</v>
      </c>
      <c r="I12" s="37">
        <f>$J$27</f>
        <v>54.214805104734275</v>
      </c>
      <c r="J12" s="40">
        <f t="shared" si="2"/>
        <v>120.72881540675431</v>
      </c>
      <c r="K12" s="38">
        <f>10^6/(2*PI()*SQRT($J$28*J12))</f>
        <v>1547.0000000000002</v>
      </c>
      <c r="L12" s="73">
        <f t="shared" si="3"/>
        <v>467.0000000000002</v>
      </c>
      <c r="M12" s="74">
        <f t="shared" si="4"/>
        <v>0</v>
      </c>
      <c r="R12" s="79"/>
      <c r="S12" s="79"/>
    </row>
    <row r="13" spans="2:19" ht="15.75">
      <c r="B13" s="80"/>
      <c r="C13" s="81" t="s">
        <v>74</v>
      </c>
      <c r="D13" s="82">
        <f>D11/D12</f>
        <v>36.833333333333336</v>
      </c>
      <c r="E13" s="48">
        <f>G32</f>
        <v>38.89837920520022</v>
      </c>
      <c r="F13" s="46">
        <f t="shared" si="0"/>
        <v>38.83627946127947</v>
      </c>
      <c r="G13" s="27">
        <f t="shared" si="1"/>
        <v>1318.1569860407208</v>
      </c>
      <c r="H13" s="30">
        <f>$J$26</f>
        <v>489.9626471864223</v>
      </c>
      <c r="I13" s="46">
        <f>$J$27</f>
        <v>54.214805104734275</v>
      </c>
      <c r="J13" s="30">
        <f t="shared" si="2"/>
        <v>90.25216065856958</v>
      </c>
      <c r="K13" s="27">
        <f>10^6/(2*PI()*SQRT($J$28*J13))</f>
        <v>1789.2333292257595</v>
      </c>
      <c r="L13" s="69">
        <f t="shared" si="3"/>
        <v>471.0763431850387</v>
      </c>
      <c r="M13" s="70">
        <f t="shared" si="4"/>
        <v>4.076343185038695</v>
      </c>
      <c r="R13" s="79"/>
      <c r="S13" s="79"/>
    </row>
    <row r="14" spans="2:19" ht="12.75">
      <c r="B14" s="83"/>
      <c r="C14" s="83"/>
      <c r="D14" s="83"/>
      <c r="E14" s="36">
        <f>G33</f>
        <v>16.92779962177581</v>
      </c>
      <c r="F14" s="37">
        <f t="shared" si="0"/>
        <v>38.83627946127947</v>
      </c>
      <c r="G14" s="38">
        <f t="shared" si="1"/>
        <v>1556.3139720814415</v>
      </c>
      <c r="H14" s="72">
        <f>$J$26</f>
        <v>489.9626471864223</v>
      </c>
      <c r="I14" s="37">
        <f>$J$27</f>
        <v>54.214805104734275</v>
      </c>
      <c r="J14" s="40">
        <f t="shared" si="2"/>
        <v>70.57729440780247</v>
      </c>
      <c r="K14" s="38">
        <f>10^6/(2*PI()*SQRT($J$28*J14))</f>
        <v>2023.313972081441</v>
      </c>
      <c r="L14" s="73">
        <f t="shared" si="3"/>
        <v>466.99999999999955</v>
      </c>
      <c r="M14" s="74">
        <f t="shared" si="4"/>
        <v>-4.547473508864641E-13</v>
      </c>
      <c r="R14" s="79"/>
      <c r="S14" s="79"/>
    </row>
    <row r="15" spans="5:19" ht="14.25" customHeight="1">
      <c r="E15" s="49">
        <f>D12</f>
        <v>12</v>
      </c>
      <c r="F15" s="50">
        <f t="shared" si="0"/>
        <v>38.83627946127947</v>
      </c>
      <c r="G15" s="51">
        <f t="shared" si="1"/>
        <v>1630</v>
      </c>
      <c r="H15" s="53">
        <f>$J$26</f>
        <v>489.9626471864223</v>
      </c>
      <c r="I15" s="50">
        <f>$J$27</f>
        <v>54.214805104734275</v>
      </c>
      <c r="J15" s="53">
        <f t="shared" si="2"/>
        <v>65.92793116937844</v>
      </c>
      <c r="K15" s="51">
        <f>10^6/(2*PI()*SQRT($J$28*J15))</f>
        <v>2093.442609754873</v>
      </c>
      <c r="L15" s="84">
        <f t="shared" si="3"/>
        <v>463.44260975487305</v>
      </c>
      <c r="M15" s="85">
        <f t="shared" si="4"/>
        <v>-3.5573902451269532</v>
      </c>
      <c r="R15" s="79"/>
      <c r="S15" s="79"/>
    </row>
    <row r="16" spans="2:19" ht="21.75" customHeight="1">
      <c r="B16" s="14"/>
      <c r="C16" s="86" t="s">
        <v>59</v>
      </c>
      <c r="E16" s="87"/>
      <c r="M16" s="83"/>
      <c r="Q16" s="88"/>
      <c r="R16" s="89"/>
      <c r="S16" s="89"/>
    </row>
    <row r="17" spans="2:19" ht="21.75" customHeight="1">
      <c r="B17" s="17" t="s">
        <v>75</v>
      </c>
      <c r="C17" s="90">
        <f>10^12/(2*PI()*D7)^2</f>
        <v>9533.778429968928</v>
      </c>
      <c r="G17" s="152" t="s">
        <v>91</v>
      </c>
      <c r="M17" s="83"/>
      <c r="Q17" s="88"/>
      <c r="R17" s="89"/>
      <c r="S17" s="89"/>
    </row>
    <row r="18" spans="2:19" ht="21.75" customHeight="1">
      <c r="B18" s="17" t="s">
        <v>76</v>
      </c>
      <c r="C18" s="91">
        <f>10^12/(2*PI()*D8)^2</f>
        <v>90175.49273970966</v>
      </c>
      <c r="D18" s="92"/>
      <c r="G18" s="153" t="s">
        <v>89</v>
      </c>
      <c r="I18" s="93"/>
      <c r="J18" s="93"/>
      <c r="K18" s="93"/>
      <c r="M18" s="94"/>
      <c r="Q18" s="88"/>
      <c r="R18" s="89"/>
      <c r="S18" s="89"/>
    </row>
    <row r="19" spans="2:19" ht="21.75" customHeight="1">
      <c r="B19" s="17" t="s">
        <v>77</v>
      </c>
      <c r="C19" s="95">
        <f>C18/C17</f>
        <v>9.458526165895336</v>
      </c>
      <c r="M19" s="94"/>
      <c r="Q19" s="88"/>
      <c r="R19" s="89"/>
      <c r="S19" s="89"/>
    </row>
    <row r="20" spans="2:19" ht="21.75" customHeight="1">
      <c r="B20" s="96" t="s">
        <v>78</v>
      </c>
      <c r="C20" s="97">
        <f>D11+C21</f>
        <v>480.83627946127945</v>
      </c>
      <c r="Q20" s="88"/>
      <c r="R20" s="89"/>
      <c r="S20" s="89"/>
    </row>
    <row r="21" spans="2:19" ht="21.75" customHeight="1">
      <c r="B21" s="99" t="s">
        <v>71</v>
      </c>
      <c r="C21" s="100">
        <f>D11*(D13-C19)/(D13*(C19-1))</f>
        <v>38.83627946127947</v>
      </c>
      <c r="Q21" s="101"/>
      <c r="R21" s="102"/>
      <c r="S21" s="102"/>
    </row>
    <row r="22" spans="2:19" ht="21.75" customHeight="1">
      <c r="B22" s="103" t="s">
        <v>79</v>
      </c>
      <c r="C22" s="104">
        <f>C18/C20</f>
        <v>187.53887048776915</v>
      </c>
      <c r="Q22" s="101"/>
      <c r="R22" s="102"/>
      <c r="S22" s="102"/>
    </row>
    <row r="23" spans="4:11" ht="18">
      <c r="D23" s="105"/>
      <c r="I23" s="106" t="s">
        <v>69</v>
      </c>
      <c r="J23" s="106"/>
      <c r="K23" s="106"/>
    </row>
    <row r="24" spans="4:11" ht="12.75">
      <c r="D24" s="107"/>
      <c r="G24" s="108"/>
      <c r="I24" s="109"/>
      <c r="J24" s="109"/>
      <c r="K24" s="109"/>
    </row>
    <row r="25" spans="9:11" ht="16.5" customHeight="1">
      <c r="I25" s="110" t="s">
        <v>84</v>
      </c>
      <c r="J25" s="119">
        <f>C22</f>
        <v>187.53887048776915</v>
      </c>
      <c r="K25" s="120" t="s">
        <v>83</v>
      </c>
    </row>
    <row r="26" spans="1:13" ht="16.5" customHeight="1">
      <c r="A26" s="113"/>
      <c r="B26" s="114" t="s">
        <v>59</v>
      </c>
      <c r="C26" s="115" t="s">
        <v>28</v>
      </c>
      <c r="D26" s="114" t="s">
        <v>17</v>
      </c>
      <c r="E26" s="115" t="s">
        <v>28</v>
      </c>
      <c r="G26" s="98"/>
      <c r="H26" s="116"/>
      <c r="I26" s="110" t="s">
        <v>80</v>
      </c>
      <c r="J26" s="111">
        <f>(I30*G28*(G31-G33)+I31*G31*(G33-G28)+G33*(G28-G31))/(I30*(G33-G31)+I31*(G28-G33)+(G31-G28))</f>
        <v>489.9626471864223</v>
      </c>
      <c r="K26" s="112" t="s">
        <v>2</v>
      </c>
      <c r="L26" s="83"/>
      <c r="M26" s="83"/>
    </row>
    <row r="27" spans="1:13" ht="16.5" customHeight="1">
      <c r="A27" s="113"/>
      <c r="B27" s="117" t="s">
        <v>29</v>
      </c>
      <c r="C27" s="118">
        <f>D8</f>
        <v>530</v>
      </c>
      <c r="D27" s="117" t="s">
        <v>30</v>
      </c>
      <c r="E27" s="118">
        <f aca="true" t="shared" si="5" ref="E27:E34">C27+$D$10</f>
        <v>997</v>
      </c>
      <c r="G27" s="116">
        <f aca="true" t="shared" si="6" ref="G27:G34">10^12/((2*PI()*$C27)^2*$C$22)-$F$9</f>
        <v>442</v>
      </c>
      <c r="I27" s="110" t="s">
        <v>81</v>
      </c>
      <c r="J27" s="111">
        <f>(I30*G33*J26/(G33+J26)-G28*J26/(G28+J26))/(1-I30)</f>
        <v>54.214805104734275</v>
      </c>
      <c r="K27" s="112" t="s">
        <v>2</v>
      </c>
      <c r="L27" s="121"/>
      <c r="M27" s="83"/>
    </row>
    <row r="28" spans="1:13" ht="16.5" customHeight="1">
      <c r="A28" s="113"/>
      <c r="B28" s="122" t="s">
        <v>31</v>
      </c>
      <c r="C28" s="123">
        <f>C30-SQRT(3/4)*(C30-C27)</f>
        <v>603.6860279185587</v>
      </c>
      <c r="D28" s="122" t="s">
        <v>32</v>
      </c>
      <c r="E28" s="123">
        <f t="shared" si="5"/>
        <v>1070.6860279185587</v>
      </c>
      <c r="F28" s="121" t="s">
        <v>65</v>
      </c>
      <c r="G28" s="116">
        <f t="shared" si="6"/>
        <v>331.78190008483034</v>
      </c>
      <c r="I28" s="110" t="s">
        <v>82</v>
      </c>
      <c r="J28" s="119">
        <f>(1-I30)*10^12/((2*PI()*E33)^2*(G33*J26/(G33+J26)-G28*J26/(G28+J26)))</f>
        <v>87.66953368348139</v>
      </c>
      <c r="K28" s="120" t="s">
        <v>83</v>
      </c>
      <c r="L28" s="121"/>
      <c r="M28" s="83"/>
    </row>
    <row r="29" spans="1:13" ht="16.5" customHeight="1">
      <c r="A29" s="113"/>
      <c r="B29" s="99" t="s">
        <v>33</v>
      </c>
      <c r="C29" s="124">
        <f>C31-(C31-C28)/2</f>
        <v>841.8430139592793</v>
      </c>
      <c r="D29" s="99" t="s">
        <v>34</v>
      </c>
      <c r="E29" s="124">
        <f t="shared" si="5"/>
        <v>1308.8430139592792</v>
      </c>
      <c r="G29" s="116">
        <f t="shared" si="6"/>
        <v>151.74785440396937</v>
      </c>
      <c r="H29" s="116"/>
      <c r="I29" s="83"/>
      <c r="J29" s="83"/>
      <c r="K29" s="83"/>
      <c r="L29" s="121"/>
      <c r="M29" s="83"/>
    </row>
    <row r="30" spans="1:13" ht="16.5" customHeight="1">
      <c r="A30" s="113"/>
      <c r="B30" s="99" t="s">
        <v>61</v>
      </c>
      <c r="C30" s="124">
        <f>(C27+C34)/2</f>
        <v>1080</v>
      </c>
      <c r="D30" s="99" t="s">
        <v>64</v>
      </c>
      <c r="E30" s="124">
        <f t="shared" si="5"/>
        <v>1547</v>
      </c>
      <c r="F30" s="121"/>
      <c r="G30" s="116">
        <f t="shared" si="6"/>
        <v>76.96182659210996</v>
      </c>
      <c r="H30" s="121" t="s">
        <v>62</v>
      </c>
      <c r="I30" s="113">
        <f>(E33/E28)^2</f>
        <v>3.5711022924005036</v>
      </c>
      <c r="J30" s="83"/>
      <c r="K30" s="83"/>
      <c r="L30" s="121"/>
      <c r="M30" s="83"/>
    </row>
    <row r="31" spans="1:13" ht="16.5" customHeight="1">
      <c r="A31" s="113"/>
      <c r="B31" s="122" t="s">
        <v>35</v>
      </c>
      <c r="C31" s="123">
        <f>C30</f>
        <v>1080</v>
      </c>
      <c r="D31" s="122" t="s">
        <v>36</v>
      </c>
      <c r="E31" s="123">
        <f t="shared" si="5"/>
        <v>1547</v>
      </c>
      <c r="F31" s="121" t="s">
        <v>66</v>
      </c>
      <c r="G31" s="116">
        <f t="shared" si="6"/>
        <v>76.96182659210996</v>
      </c>
      <c r="H31" s="121" t="s">
        <v>63</v>
      </c>
      <c r="I31" s="113">
        <f>(E33/E31)^2</f>
        <v>1.710590019350579</v>
      </c>
      <c r="J31" s="83"/>
      <c r="K31" s="83"/>
      <c r="L31" s="83"/>
      <c r="M31" s="83"/>
    </row>
    <row r="32" spans="2:13" ht="16.5" customHeight="1">
      <c r="B32" s="99" t="s">
        <v>37</v>
      </c>
      <c r="C32" s="124">
        <f>C31+(C33-C31)/2</f>
        <v>1318.1569860407208</v>
      </c>
      <c r="D32" s="99" t="s">
        <v>38</v>
      </c>
      <c r="E32" s="124">
        <f t="shared" si="5"/>
        <v>1785.1569860407208</v>
      </c>
      <c r="G32" s="116">
        <f t="shared" si="6"/>
        <v>38.89837920520022</v>
      </c>
      <c r="H32" s="83"/>
      <c r="I32" s="83"/>
      <c r="J32" s="83"/>
      <c r="K32" s="83"/>
      <c r="L32" s="83"/>
      <c r="M32" s="83"/>
    </row>
    <row r="33" spans="2:14" ht="17.25">
      <c r="B33" s="122" t="s">
        <v>39</v>
      </c>
      <c r="C33" s="123">
        <f>C30+SQRT(3/4)*(C30-C27)</f>
        <v>1556.3139720814413</v>
      </c>
      <c r="D33" s="122" t="s">
        <v>40</v>
      </c>
      <c r="E33" s="123">
        <f t="shared" si="5"/>
        <v>2023.3139720814413</v>
      </c>
      <c r="F33" s="121" t="s">
        <v>67</v>
      </c>
      <c r="G33" s="116">
        <f t="shared" si="6"/>
        <v>16.92779962177581</v>
      </c>
      <c r="H33" s="83"/>
      <c r="I33" s="83"/>
      <c r="J33" s="83"/>
      <c r="K33" s="83"/>
      <c r="L33" s="83"/>
      <c r="M33" s="125"/>
      <c r="N33" s="7"/>
    </row>
    <row r="34" spans="2:14" ht="17.25">
      <c r="B34" s="126" t="s">
        <v>8</v>
      </c>
      <c r="C34" s="127">
        <f>D7</f>
        <v>1630</v>
      </c>
      <c r="D34" s="126" t="s">
        <v>41</v>
      </c>
      <c r="E34" s="127">
        <f t="shared" si="5"/>
        <v>2097</v>
      </c>
      <c r="F34" s="83"/>
      <c r="G34" s="116">
        <f t="shared" si="6"/>
        <v>11.999999999999993</v>
      </c>
      <c r="M34" s="125"/>
      <c r="N34" s="7"/>
    </row>
    <row r="35" spans="6:14" ht="17.25" customHeight="1">
      <c r="F35" s="83"/>
      <c r="G35" s="83"/>
      <c r="M35" s="125"/>
      <c r="N35" s="7"/>
    </row>
    <row r="36" spans="2:10" ht="17.25">
      <c r="B36" s="128" t="s">
        <v>85</v>
      </c>
      <c r="J36" s="129"/>
    </row>
    <row r="37" spans="2:11" ht="17.25">
      <c r="B37" s="128" t="s">
        <v>86</v>
      </c>
      <c r="J37" s="129"/>
      <c r="K37" s="130"/>
    </row>
    <row r="38" ht="12.75">
      <c r="J38" s="129"/>
    </row>
    <row r="39" spans="2:10" ht="17.25">
      <c r="B39" s="128" t="s">
        <v>87</v>
      </c>
      <c r="J39" s="129"/>
    </row>
    <row r="40" ht="17.25">
      <c r="B40" s="128" t="s">
        <v>88</v>
      </c>
    </row>
  </sheetData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3253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ANZIO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Luciano</cp:lastModifiedBy>
  <dcterms:created xsi:type="dcterms:W3CDTF">2018-06-02T13:56:42Z</dcterms:created>
  <dcterms:modified xsi:type="dcterms:W3CDTF">2018-06-02T15:21:10Z</dcterms:modified>
  <cp:category/>
  <cp:version/>
  <cp:contentType/>
  <cp:contentStatus/>
</cp:coreProperties>
</file>